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ter Lynch\Dropbox\Peter\ASM Website\Topics\Template Page\"/>
    </mc:Choice>
  </mc:AlternateContent>
  <bookViews>
    <workbookView xWindow="0" yWindow="0" windowWidth="28800" windowHeight="14310" tabRatio="894"/>
  </bookViews>
  <sheets>
    <sheet name="Title Page" sheetId="58" r:id="rId1"/>
    <sheet name="Sources &amp; Uses" sheetId="53" r:id="rId2"/>
    <sheet name="Exit Analysis" sheetId="28" r:id="rId3"/>
    <sheet name="Post-Transaction Fncl Sts" sheetId="26" r:id="rId4"/>
    <sheet name="IS Scenarios" sheetId="59" r:id="rId5"/>
    <sheet name="Debt Schedule" sheetId="56" r:id="rId6"/>
    <sheet name="PP&amp;E Schedule" sheetId="23" r:id="rId7"/>
    <sheet name="Debt Ratios" sheetId="57" r:id="rId8"/>
  </sheets>
  <definedNames>
    <definedName name="CIQWBGuid" hidden="1">"cbeeede9-6f2c-4268-bbc1-e96b1a38e936"</definedName>
    <definedName name="ExactAddinConnection" hidden="1">"001"</definedName>
    <definedName name="ExactAddinConnection.001" hidden="1">"catfish;001;rick_tellez;1"</definedName>
    <definedName name="IQ_0_PCT_RISK_WEIGHT_TOTAL_THRIFT" hidden="1">"c25055"</definedName>
    <definedName name="IQ_1_4_DWELLING_UNITS_CONSTRUCTION_MORTGAGE_LOANS_ADJUSTED_NCOS_TOTAL_THRIFT" hidden="1">"c25200"</definedName>
    <definedName name="IQ_1_4_DWELLING_UNITS_CONSTRUCTION_MORTGAGE_LOANS_GVA_CHARGE_OFFS_THRIFT" hidden="1">"c25115"</definedName>
    <definedName name="IQ_1_4_DWELLING_UNITS_CONSTRUCTION_MORTGAGE_LOANS_GVA_RECOVERIES_THRIFT" hidden="1">"c25146"</definedName>
    <definedName name="IQ_1_4_DWELLING_UNITS_CONSTRUCTION_MORTGAGE_LOANS_SVA_PROVISIONS_TRANSFERS_FROM_GVA_TOTAL_THRIFT" hidden="1">"c25169"</definedName>
    <definedName name="IQ_1_4_DWELLING_UNITS_REVOLVING_OPEN_END_PML_ADJUSTED_NCOS_TOTAL_THRIFT" hidden="1">"c25203"</definedName>
    <definedName name="IQ_1_4_DWELLING_UNITS_REVOLVING_OPEN_END_PML_GVA_CHARGE_OFFS_THRIFT" hidden="1">"c25118"</definedName>
    <definedName name="IQ_1_4_DWELLING_UNITS_REVOLVING_OPEN_END_PML_GVA_RECOVERIES_THRIFT" hidden="1">"c25149"</definedName>
    <definedName name="IQ_1_4_DWELLING_UNITS_REVOLVING_OPEN_END_PML_SVA_PROVISIONS_TRANSFERS_FROM_GVA_TOTAL_THRIFT" hidden="1">"c25172"</definedName>
    <definedName name="IQ_1_4_DWELLING_UNITS_SECURED_FIRST_LIENS_IN_PROCESS_FORECLOSURE_THRIFT" hidden="1">"c25305"</definedName>
    <definedName name="IQ_1_4_DWELLING_UNITS_SECURED_FIRST_LIENS_PML_ADJUSTED_NCOS_TOTAL_THRIFT" hidden="1">"c25204"</definedName>
    <definedName name="IQ_1_4_DWELLING_UNITS_SECURED_FIRST_LIENS_PML_GVA_CHARGE_OFFS_THRIFT" hidden="1">"c25119"</definedName>
    <definedName name="IQ_1_4_DWELLING_UNITS_SECURED_FIRST_LIENS_PML_GVA_RECOVERIES_THRIFT" hidden="1">"c25150"</definedName>
    <definedName name="IQ_1_4_DWELLING_UNITS_SECURED_FIRST_LIENS_PML_SVA_PROVISIONS_TRANSFERS_FROM_GVA_TOTAL_THRIFT" hidden="1">"c25173"</definedName>
    <definedName name="IQ_1_4_DWELLING_UNITS_SECURED_JUNIOR_LIENS_IN_PROCESS_FORECLOSURE_THRIFT" hidden="1">"c25306"</definedName>
    <definedName name="IQ_1_4_DWELLING_UNITS_SECURED_JUNIOR_LIENS_PML_ADJUSTED_NCOS_TOTAL_THRIFT" hidden="1">"c25205"</definedName>
    <definedName name="IQ_1_4_DWELLING_UNITS_SECURED_JUNIOR_LIENS_PML_GVA_CHARGE_OFFS_THRIFT" hidden="1">"c25120"</definedName>
    <definedName name="IQ_1_4_DWELLING_UNITS_SECURED_JUNIOR_LIENS_PML_GVA_RECOVERIES_THRIFT" hidden="1">"c25151"</definedName>
    <definedName name="IQ_1_4_DWELLING_UNITS_SECURED_JUNIOR_LIENS_PML_SVA_PROVISIONS_TRANSFERS_FROM_GVA_TOTAL_THRIFT" hidden="1">"c25174"</definedName>
    <definedName name="IQ_1_4_DWELLING_UNITS_SECURED_REVOLVING_OPEN_END_LOANS_IN_PROCESS_FORECLOSURE_THRIFT" hidden="1">"c25304"</definedName>
    <definedName name="IQ_1_4_FAMILY_CONSTRUCTION_LOANS_GROSS_LOANS_THRIFT" hidden="1">"c25727"</definedName>
    <definedName name="IQ_1_4_FAMILY_CONSTRUCTION_LOANS_RISK_BASED_CAPITAL_THRIFT" hidden="1">"c25712"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100_PCT_RISK_WEIGHT_TOTAL_THRIFT" hidden="1">"c25073"</definedName>
    <definedName name="IQ_20_PCT_RISK_WEIGHT_TOTAL_THRIFT" hidden="1">"c25062"</definedName>
    <definedName name="IQ_50_PCT_RISK_WEIGHT_TOTAL_THRIFT" hidden="1">"c25069"</definedName>
    <definedName name="IQ_ABS_AFS_AMORT_COST_FFIEC" hidden="1">"c20499"</definedName>
    <definedName name="IQ_ABS_AFS_FAIR_VAL_FFIEC" hidden="1">"c20464"</definedName>
    <definedName name="IQ_ABS_HTM_AMORT_COST_FFIEC" hidden="1">"c20447"</definedName>
    <definedName name="IQ_ABS_HTM_FAIR_VAL_FFIEC" hidden="1">"c20482"</definedName>
    <definedName name="IQ_ACCOUNTS_PAYABLE_THRIFT" hidden="1">"c24910"</definedName>
    <definedName name="IQ_ACCRUED_INT_PAYABLE_DEPOSITS_THRIFT" hidden="1">"c24907"</definedName>
    <definedName name="IQ_ACCRUED_INT_PAYABLE_THRIFT" hidden="1">"c24906"</definedName>
    <definedName name="IQ_ACCRUED_INT_RECEIVABLE_MBS_THRIFT" hidden="1">"c24836"</definedName>
    <definedName name="IQ_ACCRUED_INT_RECEIVABLE_THRIFT" hidden="1">"c24827"</definedName>
    <definedName name="IQ_ACCRUED_MORTGAGE_INT_RECEIVABLE_THRIFT" hidden="1">"c24849"</definedName>
    <definedName name="IQ_ACCRUED_NON_MORTGAGE_INT_RECEIVABLE_THRIFT" hidden="1">"c24866"</definedName>
    <definedName name="IQ_ACCRUED_TAXES_THRIFT" hidden="1">"c24909"</definedName>
    <definedName name="IQ_ACCUM_AMORT_GW" hidden="1">"c17749"</definedName>
    <definedName name="IQ_ACCUM_AMORT_INTAN_ASSETS" hidden="1">"c17747"</definedName>
    <definedName name="IQ_ACCUMULATED_GAINS_LOSSES_CASH_FLOW_HEDGES_THRIFT" hidden="1">"c24922"</definedName>
    <definedName name="IQ_ACCUMULATED_GAINS_LOSSES_CERTAIN_SEC_THRIFT" hidden="1">"c24921"</definedName>
    <definedName name="IQ_ACCUMULATED_LOSSES_GAINS_CASH_FLOW_HEDGES_ADJUSTED_ASSETS_THRIFT" hidden="1">"c25035"</definedName>
    <definedName name="IQ_ACCUMULATED_LOSSES_GAINS_CASH_FLOW_HEDGES_T1_THRIFT" hidden="1">"c25026"</definedName>
    <definedName name="IQ_ACQUIRED_BY_REPORTING_BANK_FDIC" hidden="1">"c6535"</definedName>
    <definedName name="IQ_ACTUAL_THRIFT_INV_PERCENTAGE_MONTH_END_FIRST_MONTH_QUARTER_THRIFT" hidden="1">"c25584"</definedName>
    <definedName name="IQ_ACTUAL_THRIFT_INV_PERCENTAGE_MONTH_END_SECOND_MONTH_QUARTER_THRIFT" hidden="1">"c25585"</definedName>
    <definedName name="IQ_ACTUAL_THRIFT_INV_PERCENTAGE_MONTH_END_THIRD_MONTH_QUARTER_THRIFT" hidden="1">"c25586"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JUSTED_OPERATING_INCOME_AVG_ASSETS_THRIFT" hidden="1">"c25651"</definedName>
    <definedName name="IQ_ADJUSTED_TOTAL_ASSETS_ADJUSTED_ASSETS_THRIFT" hidden="1">"c25038"</definedName>
    <definedName name="IQ_ADJUSTMENTS_GVA_THRIFT" hidden="1">"c25095"</definedName>
    <definedName name="IQ_ADJUSTMENTS_SVA_THRIFT" hidden="1">"c25102"</definedName>
    <definedName name="IQ_ADJUSTMENTS_TVA_THRIFT" hidden="1">"c25109"</definedName>
    <definedName name="IQ_ADVANCES_FROM_FHLB_THRIFT" hidden="1">"c24900"</definedName>
    <definedName name="IQ_ADVANCES_TAXES_INSURANCE_THRIFT" hidden="1">"c24850"</definedName>
    <definedName name="IQ_AE_CM" hidden="1">"c10"</definedName>
    <definedName name="IQ_AFS_SEC_AMOUNTS_NETTED_THRIFT" hidden="1">"c25492"</definedName>
    <definedName name="IQ_AFS_SEC_INV_SEC_THRIFT" hidden="1">"c25670"</definedName>
    <definedName name="IQ_AFS_SEC_LEVEL_1_THRIFT" hidden="1">"c25488"</definedName>
    <definedName name="IQ_AFS_SEC_LEVEL_2_THRIFT" hidden="1">"c25489"</definedName>
    <definedName name="IQ_AFS_SEC_LEVEL_3_THRIFT" hidden="1">"c25490"</definedName>
    <definedName name="IQ_AFS_SEC_THRIFT" hidden="1">"c24933"</definedName>
    <definedName name="IQ_AFS_SEC_TIER_1_CAPITAL_THRIFT" hidden="1">"c25630"</definedName>
    <definedName name="IQ_AFS_SEC_TOTAL_AFTER_NETTING_THRIFT" hidden="1">"c25493"</definedName>
    <definedName name="IQ_AFS_SEC_TOTAL_BEFORE_NETTING_THRIFT" hidden="1">"c25491"</definedName>
    <definedName name="IQ_AFTER_TAX_INCOME_FDIC" hidden="1">"c6583"</definedName>
    <definedName name="IQ_AGG_BANK_OVER_TOTAL" hidden="1">"c24684"</definedName>
    <definedName name="IQ_AGG_BANK_SHARES" hidden="1">"c24686"</definedName>
    <definedName name="IQ_AGG_BANK_VALUE" hidden="1">"c24685"</definedName>
    <definedName name="IQ_AGG_COMPANY_FOUNDATION_OVER_TOTAL" hidden="1">"c13769"</definedName>
    <definedName name="IQ_AGG_COMPANY_FOUNDATION_SHARES" hidden="1">"c13783"</definedName>
    <definedName name="IQ_AGG_COMPANY_FOUNDATION_VALUE" hidden="1">"c13776"</definedName>
    <definedName name="IQ_AGG_CORPORATE_OVER_TOTAL" hidden="1">"c13767"</definedName>
    <definedName name="IQ_AGG_ENDOWMENT_OVER_TOTAL" hidden="1">"c24678"</definedName>
    <definedName name="IQ_AGG_ENDOWMENT_SHARES" hidden="1">"c24680"</definedName>
    <definedName name="IQ_AGG_ENDOWMENT_VALUE" hidden="1">"c24679"</definedName>
    <definedName name="IQ_AGG_ESOP_OVER_TOTAL" hidden="1">"c13768"</definedName>
    <definedName name="IQ_AGG_FAMILY_OVER_TOTAL" hidden="1">"c24687"</definedName>
    <definedName name="IQ_AGG_FAMILY_SHARES" hidden="1">"c24689"</definedName>
    <definedName name="IQ_AGG_FAMILY_VALUE" hidden="1">"c24688"</definedName>
    <definedName name="IQ_AGG_HEDGEFUND_OVER_TOTAL" hidden="1">"c13771"</definedName>
    <definedName name="IQ_AGG_INSIDER_OVER_TOTAL" hidden="1">"c1581"</definedName>
    <definedName name="IQ_AGG_INSTITUTION_HEDGEFUND_OVER_TOTAL" hidden="1">"c24711"</definedName>
    <definedName name="IQ_AGG_INSTITUTION_HEDGEFUND_SHARES" hidden="1">"c24713"</definedName>
    <definedName name="IQ_AGG_INSTITUTION_HEDGEFUND_VALUE" hidden="1">"c24712"</definedName>
    <definedName name="IQ_AGG_INSTITUTION_SOVEREIGN_OVER_TOTAL" hidden="1">"c24717"</definedName>
    <definedName name="IQ_AGG_INSTITUTION_SOVEREIGN_SHARES" hidden="1">"c24719"</definedName>
    <definedName name="IQ_AGG_INSTITUTION_SOVEREIGN_VALUE" hidden="1">"c24718"</definedName>
    <definedName name="IQ_AGG_INSTITUTION_UNCLASSIFIED_OVER_TOTAL" hidden="1">"c24696"</definedName>
    <definedName name="IQ_AGG_INSTITUTION_UNCLASSIFIED_SHARES" hidden="1">"c24698"</definedName>
    <definedName name="IQ_AGG_INSTITUTION_UNCLASSIFIED_VALUE" hidden="1">"c24697"</definedName>
    <definedName name="IQ_AGG_INSTITUTION_VC_PE_OVER_TOTAL" hidden="1">"c24714"</definedName>
    <definedName name="IQ_AGG_INSTITUTION_VC_PE_SHARES" hidden="1">"c24716"</definedName>
    <definedName name="IQ_AGG_INSTITUTION_VC_PE_VALUE" hidden="1">"c24715"</definedName>
    <definedName name="IQ_AGG_INSTITUTIONAL_OVER_TOTAL" hidden="1">"c1580"</definedName>
    <definedName name="IQ_AGG_INSURANCE_OVER_TOTAL" hidden="1">"c24681"</definedName>
    <definedName name="IQ_AGG_INSURANCE_SHARES" hidden="1">"c24683"</definedName>
    <definedName name="IQ_AGG_INSURANCE_VALUE" hidden="1">"c24682"</definedName>
    <definedName name="IQ_AGG_INV_MANAGERS_OVER_TOTAL" hidden="1">"c26967"</definedName>
    <definedName name="IQ_AGG_INV_MANAGERS_SHARES" hidden="1">"c26968"</definedName>
    <definedName name="IQ_AGG_INV_MANAGERS_VALUE" hidden="1">"c26969"</definedName>
    <definedName name="IQ_AGG_MONEY_MANAGERS_OVER_TOTAL" hidden="1">"c24669"</definedName>
    <definedName name="IQ_AGG_MONEY_MANAGERS_SHARES" hidden="1">"c24671"</definedName>
    <definedName name="IQ_AGG_MONEY_MANAGERS_VALUE" hidden="1">"c24670"</definedName>
    <definedName name="IQ_AGG_OTHER_OVER_TOTAL" hidden="1">"c13770"</definedName>
    <definedName name="IQ_AGG_PENSION_OVER_TOTAL" hidden="1">"c24675"</definedName>
    <definedName name="IQ_AGG_PENSION_SHARES" hidden="1">"c24677"</definedName>
    <definedName name="IQ_AGG_PENSION_VALUE" hidden="1">"c24676"</definedName>
    <definedName name="IQ_AGG_REIT_OVER_TOTAL" hidden="1">"c24693"</definedName>
    <definedName name="IQ_AGG_REIT_SHARES" hidden="1">"c24695"</definedName>
    <definedName name="IQ_AGG_REIT_VALUE" hidden="1">"c24694"</definedName>
    <definedName name="IQ_AGG_SOVEREIGN_OVER_TOTAL" hidden="1">"c24690"</definedName>
    <definedName name="IQ_AGG_SOVEREIGN_SHARES" hidden="1">"c24692"</definedName>
    <definedName name="IQ_AGG_SOVEREIGN_VALUE" hidden="1">"c24691"</definedName>
    <definedName name="IQ_AGG_STATE_OVER_TOTAL" hidden="1">"c24705"</definedName>
    <definedName name="IQ_AGG_STATE_SHARES" hidden="1">"c24707"</definedName>
    <definedName name="IQ_AGG_STATE_VALUE" hidden="1">"c24706"</definedName>
    <definedName name="IQ_AGG_STRATEGIC_CORP_PRIVATE_OVER_TOTAL" hidden="1">"c24702"</definedName>
    <definedName name="IQ_AGG_STRATEGIC_CORP_PRIVATE_SHARES" hidden="1">"c24704"</definedName>
    <definedName name="IQ_AGG_STRATEGIC_CORP_PRIVATE_VALUE" hidden="1">"c24703"</definedName>
    <definedName name="IQ_AGG_STRATEGIC_CORP_PUBLIC_OVER_TOTAL" hidden="1">"c24699"</definedName>
    <definedName name="IQ_AGG_STRATEGIC_CORP_PUBLIC_SHARES" hidden="1">"c24701"</definedName>
    <definedName name="IQ_AGG_STRATEGIC_CORP_PUBLIC_VALUE" hidden="1">"c24700"</definedName>
    <definedName name="IQ_AGG_STRATEGIC_HEDGEFUND_OVER_TOTAL" hidden="1">"c24726"</definedName>
    <definedName name="IQ_AGG_STRATEGIC_HEDGEFUND_SHARES" hidden="1">"c24728"</definedName>
    <definedName name="IQ_AGG_STRATEGIC_HEDGEFUND_VALUE" hidden="1">"c24727"</definedName>
    <definedName name="IQ_AGG_STRATEGIC_OVER_TOTAL" hidden="1">"c24708"</definedName>
    <definedName name="IQ_AGG_STRATEGIC_SHARES" hidden="1">"c24710"</definedName>
    <definedName name="IQ_AGG_STRATEGIC_SWF_OVER_TOTAL" hidden="1">"c24723"</definedName>
    <definedName name="IQ_AGG_STRATEGIC_SWF_SHARES" hidden="1">"c24725"</definedName>
    <definedName name="IQ_AGG_STRATEGIC_SWF_VALUE" hidden="1">"c24724"</definedName>
    <definedName name="IQ_AGG_STRATEGIC_VALUE" hidden="1">"c24709"</definedName>
    <definedName name="IQ_AGG_STRATEGIC_VC_PE_OVER_TOTAL" hidden="1">"c24720"</definedName>
    <definedName name="IQ_AGG_STRATEGIC_VC_PE_SHARES" hidden="1">"c24722"</definedName>
    <definedName name="IQ_AGG_STRATEGIC_VC_PE_VALUE" hidden="1">"c24721"</definedName>
    <definedName name="IQ_AGG_VC_PE_OVER_TOTAL" hidden="1">"c24672"</definedName>
    <definedName name="IQ_AGG_VC_PE_SHARES" hidden="1">"c24674"</definedName>
    <definedName name="IQ_AGG_VC_PE_VALUE" hidden="1">"c24673"</definedName>
    <definedName name="IQ_AGGREGATE_AMT_ALL_EXTENSIONS_CREDIT_THRIFT" hidden="1">"c25589"</definedName>
    <definedName name="IQ_AGGREGATE_INV_IN_SERVICE_CORPORATIONS_THRIFT" hidden="1">"c25588"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IRCRAFT_RENT" hidden="1">"c17872"</definedName>
    <definedName name="IQ_ALL_OTHER_ASSETS_ELIGIBLE_100_PCT_RISK_WEIGHT_THRIFT" hidden="1">"c25072"</definedName>
    <definedName name="IQ_ALL_OTHER_FINANCIAL_ASSETS_AMOUNTS_NETTED_THRIFT" hidden="1">"c25516"</definedName>
    <definedName name="IQ_ALL_OTHER_FINANCIAL_ASSETS_LEVEL_1_THRIFT" hidden="1">"c25512"</definedName>
    <definedName name="IQ_ALL_OTHER_FINANCIAL_ASSETS_LEVEL_2_THRIFT" hidden="1">"c25513"</definedName>
    <definedName name="IQ_ALL_OTHER_FINANCIAL_ASSETS_LEVEL_3_THRIFT" hidden="1">"c25514"</definedName>
    <definedName name="IQ_ALL_OTHER_FINANCIAL_ASSETS_TOTAL_AFTER_NETTING_THRIFT" hidden="1">"c25517"</definedName>
    <definedName name="IQ_ALL_OTHER_FINANCIAL_ASSETS_TOTAL_BEFORE_NETTING_THRIFT" hidden="1">"c25515"</definedName>
    <definedName name="IQ_ALL_OTHER_FINANCIAL_LIABILITIES_AMOUNTS_NETTED_THRIFT" hidden="1">"c25558"</definedName>
    <definedName name="IQ_ALL_OTHER_FINANCIAL_LIABILITIES_LEVEL_1_THRIFT" hidden="1">"c25554"</definedName>
    <definedName name="IQ_ALL_OTHER_FINANCIAL_LIABILITIES_LEVEL_2_THRIFT" hidden="1">"c25555"</definedName>
    <definedName name="IQ_ALL_OTHER_FINANCIAL_LIABILITIES_LEVEL_3_THRIFT" hidden="1">"c25556"</definedName>
    <definedName name="IQ_ALL_OTHER_FINANCIAL_LIABILITIES_TOTAL_AFTER_NETTING_THRIFT" hidden="1">"c25559"</definedName>
    <definedName name="IQ_ALL_OTHER_FINANCIAL_LIABILITIES_TOTAL_BEFORE_NETTING_THRIFT" hidden="1">"c25557"</definedName>
    <definedName name="IQ_ALL_OTHER_LOANS_EXCL_CONSUMER_LL_REC_DOM_FFIEC" hidden="1">"c25857"</definedName>
    <definedName name="IQ_ALL_OTHER_LOANS_EXCL_CONSUMER_LL_REC_FFIEC" hidden="1">"c25853"</definedName>
    <definedName name="IQ_ALL_OTHER_SEC_1_4_DOM_CHARGE_OFFS_FFIEC" hidden="1">"c25842"</definedName>
    <definedName name="IQ_ALL_OTHER_SEC_1_4_DOM_RECOV_FFIEC" hidden="1">"c25843"</definedName>
    <definedName name="IQ_ALL_OTHER_SEC_1_4_DUE_30_89_FFIEC" hidden="1">"c25835"</definedName>
    <definedName name="IQ_ALL_OTHER_SEC_1_4_DUE_90_FFIEC" hidden="1">"c25836"</definedName>
    <definedName name="IQ_ALL_OTHER_SEC_1_4_NON_ACCRUAL_FFIEC" hidden="1">"c25837"</definedName>
    <definedName name="IQ_ALL_OTHER_UNUSED_FFIEC" hidden="1">"c25861"</definedName>
    <definedName name="IQ_ALL_STATEMENTS_AP" hidden="1">"c25895"</definedName>
    <definedName name="IQ_ALL_STATEMENTS_AP_CO" hidden="1">"c25896"</definedName>
    <definedName name="IQ_ALL_STATEMENTS_INDUSTRY" hidden="1">"c25891"</definedName>
    <definedName name="IQ_ALL_STATEMENTS_INDUSTRY_CO" hidden="1">"c25892"</definedName>
    <definedName name="IQ_ALL_STATEMENTS_STANDARD" hidden="1">"c25893"</definedName>
    <definedName name="IQ_ALL_STATEMENTS_STANDARD_CO" hidden="1">"c25894"</definedName>
    <definedName name="IQ_ALLOW_MORTGAGE_LL_LOSSES_THRIFT" hidden="1">"c24851"</definedName>
    <definedName name="IQ_ALLOW_NON_MORTGAGE_LOAN_LL_THRIFT" hidden="1">"c24867"</definedName>
    <definedName name="IQ_ALLOWABLE_TIER_2_CAPITAL_T2_THRIFT" hidden="1">"c25046"</definedName>
    <definedName name="IQ_ALLOWANCE_AMT_INCLUDED_IN_ALLOWANCE_LOAN_LEASE_LOSSES_PURCHASED_CREDIT_IMPAIRED_LOANS_THRIFT" hidden="1">"c25239"</definedName>
    <definedName name="IQ_ALLOWANCES_LL_LOSSES_T2_THRIFT" hidden="1">"c25043"</definedName>
    <definedName name="IQ_ALPHA_SCORE_DATE" hidden="1">"c25923"</definedName>
    <definedName name="IQ_AMENDED_BALANCE_PREVIOUS_YR_FDIC" hidden="1">"c6499"</definedName>
    <definedName name="IQ_AMORT_EXPENSE_FDIC" hidden="1">"c6677"</definedName>
    <definedName name="IQ_AMORT_LOAN_SERVICING_ASSETS_LIABILITIES_THRIFT" hidden="1">"c24767"</definedName>
    <definedName name="IQ_AMORTIZED_COST_FDIC" hidden="1">"c6426"</definedName>
    <definedName name="IQ_AMT_DIRECT_CREDIT_SUBSTITUTES_ASSETS_THRIFT" hidden="1">"c25616"</definedName>
    <definedName name="IQ_AMT_LOW_LEVEL_RECOURSE_RESIDUAL_INTERESTS_BEFORE_RISK_WEIGHTING_THRIFT" hidden="1">"c25074"</definedName>
    <definedName name="IQ_AMT_NONINTEREST_BEARING_TRANSACTION_ACCOUNTS_MORE_THAN_250000_THRIFT" hidden="1">"c25582"</definedName>
    <definedName name="IQ_AMT_RECOURSE_OBLIGATIONS_ASSETS_THRIFT" hidden="1">"c25617"</definedName>
    <definedName name="IQ_AMT_RECOURSE_OBLIGATIONS_LOANS_THRIFT" hidden="1">"c25618"</definedName>
    <definedName name="IQ_AMT_RECOURSE_OBLIGATIONS_LOANS_WHERE_RECOURSE_IS_120_DAYS_LESS_THRIFT" hidden="1">"c25619"</definedName>
    <definedName name="IQ_AMT_RECOURSE_OBLIGATIONS_LOANS_WHERE_RECOURSE_IS_GREATER_THAN_120_DAYS_THRIFT" hidden="1">"c25620"</definedName>
    <definedName name="IQ_AMT_THIS_QUARTER_TROUBLED_DEBT_RESTRUCTURED_THRIFT" hidden="1">"c25229"</definedName>
    <definedName name="IQ_AOCI_THRIFT" hidden="1">"c24920"</definedName>
    <definedName name="IQ_AP_CM" hidden="1">"c34"</definedName>
    <definedName name="IQ_APIC_THRIFT" hidden="1">"c24918"</definedName>
    <definedName name="IQ_APPLICABLE_INCOME_TAXES_AVG_ASSETS_THRIFT" hidden="1">"c25657"</definedName>
    <definedName name="IQ_AR_CM" hidden="1">"c41"</definedName>
    <definedName name="IQ_ASSET_BACKED_FDIC" hidden="1">"c6301"</definedName>
    <definedName name="IQ_ASSET_BACKED_SEC_INV_SEC_THRIFT" hidden="1">"c25674"</definedName>
    <definedName name="IQ_ASSET_MANAGED_GROWTH_RATE" hidden="1">"c20434"</definedName>
    <definedName name="IQ_ASSET_WRITEDOWN_CF_CM" hidden="1">"c53"</definedName>
    <definedName name="IQ_ASSET_WRITEDOWN_CM" hidden="1">"c50"</definedName>
    <definedName name="IQ_ASSETS_EXCLUDED_PURPOSES_OTS_ASSESSMENT_COMPLEXITY_COMPONENT_MANAGED_ASSETS_THRIFT" hidden="1">"c25356"</definedName>
    <definedName name="IQ_ASSETS_EXCLUDED_PURPOSES_OTS_ASSESSMENT_COMPLEXITY_COMPONENT_NONMANAGED_ASSETS_THRIFT" hidden="1">"c25378"</definedName>
    <definedName name="IQ_ASSETS_HELD_FDIC" hidden="1">"c6305"</definedName>
    <definedName name="IQ_ASSETS_HFS_THRIFT" hidden="1">"c24934"</definedName>
    <definedName name="IQ_ASSETS_LOSS_SHARING_DEBT_SEC_FFIEC" hidden="1">"c25867"</definedName>
    <definedName name="IQ_ASSETS_LOSS_SHARING_FFIEC" hidden="1">"c25864"</definedName>
    <definedName name="IQ_ASSETS_LOSS_SHARING_LL_FFIEC" hidden="1">"c25865"</definedName>
    <definedName name="IQ_ASSETS_LOSS_SHARING_OREO_FFIEC" hidden="1">"c25866"</definedName>
    <definedName name="IQ_ASSETS_LOSS_SHARING_OTHER_FFIEC" hidden="1">"c25868"</definedName>
    <definedName name="IQ_ASSETS_NON_INCLUDABLE_SUBS_ADJUSTED_ASSETS_THRIFT" hidden="1">"c25031"</definedName>
    <definedName name="IQ_ASSETS_PER_EMPLOYEE_FDIC" hidden="1">"c6737"</definedName>
    <definedName name="IQ_ASSETS_PER_EMPLOYEE_THRIFT" hidden="1">"c25783"</definedName>
    <definedName name="IQ_ASSETS_RISK_WEIGHT_THRIFT" hidden="1">"c25076"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FEE_EARNING" hidden="1">"c20402"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HRIFT" hidden="1">"c24862"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EPOSITS_ESCROWS_THRIFT" hidden="1">"c24950"</definedName>
    <definedName name="IQ_AVG_DEPOSITS_INV_EXCLUDING_NON_INT_EARNING_ITEMS_THRIFT" hidden="1">"c24947"</definedName>
    <definedName name="IQ_AVG_EARNING_ASSETS_AVG_ASSETS_THRIFT" hidden="1">"c25645"</definedName>
    <definedName name="IQ_AVG_INT_BEARING_FUNDS_AVG_ASSETS_THRIFT" hidden="1">"c25646"</definedName>
    <definedName name="IQ_AVG_MARKETCAP_Z" hidden="1">"c25900"</definedName>
    <definedName name="IQ_AVG_MORTGAGE_LOANS_MBS_THRIFT" hidden="1">"c24948"</definedName>
    <definedName name="IQ_AVG_NON_MORTGAGE_LOANS_THRIFT" hidden="1">"c24949"</definedName>
    <definedName name="IQ_AVG_PORTFOLIO_DURATION" hidden="1">"c17693"</definedName>
    <definedName name="IQ_AVG_REV_PER_TRADE" hidden="1">"c20431"</definedName>
    <definedName name="IQ_AVG_TOTAL_ASSETS_THRIFT" hidden="1">"c24946"</definedName>
    <definedName name="IQ_AVG_TOTAL_BORROWINGS_THRIFT" hidden="1">"c24951"</definedName>
    <definedName name="IQ_BALANCE_SHEET_AP" hidden="1">"c25883"</definedName>
    <definedName name="IQ_BALANCE_SHEET_AP_CO" hidden="1">"c25884"</definedName>
    <definedName name="IQ_BALANCE_SHEET_INDUSTRY" hidden="1">"c25879"</definedName>
    <definedName name="IQ_BALANCE_SHEET_INDUSTRY_CO" hidden="1">"c25880"</definedName>
    <definedName name="IQ_BALANCE_SHEET_STANDARD" hidden="1">"c25881"</definedName>
    <definedName name="IQ_BALANCE_SHEET_STANDARD_CO" hidden="1">"c25882"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OWNED_LIFE_INSURANCE_THRIFT" hidden="1">"c24884"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EGINNING_BALANCE_GVA_THRIFT" hidden="1">"c25091"</definedName>
    <definedName name="IQ_BEGINNING_BALANCE_REPORTED_QUARTERLY_BALANCE_GVA_THRIFT" hidden="1">"c25090"</definedName>
    <definedName name="IQ_BEGINNING_BALANCE_REPORTED_QUARTERLY_BALANCE_SVA_THRIFT" hidden="1">"c25098"</definedName>
    <definedName name="IQ_BEGINNING_BALANCE_REPORTED_QUARTERLY_BALANCE_TVA_THRIFT" hidden="1">"c25105"</definedName>
    <definedName name="IQ_BEGINNING_BALANCE_SVA_THRIFT" hidden="1">"c25099"</definedName>
    <definedName name="IQ_BEGINNING_BALANCE_TVA_THRIFT" hidden="1">"c25106"</definedName>
    <definedName name="IQ_BOP" hidden="1">"c20560"</definedName>
    <definedName name="IQ_BOP_BALANCE_ON_CURRENT_ACCOUNT" hidden="1">"c20561"</definedName>
    <definedName name="IQ_BOP_BALANCE_ON_GOODS" hidden="1">"c20562"</definedName>
    <definedName name="IQ_BOP_BALANCE_ON_GOODS_SERVICES" hidden="1">"c20563"</definedName>
    <definedName name="IQ_BOP_BALANCE_ON_INCOME" hidden="1">"c20564"</definedName>
    <definedName name="IQ_BOP_BALANCE_ON_SERVICES" hidden="1">"c20565"</definedName>
    <definedName name="IQ_BOP_CAPITAL_TRANSACTION_NET" hidden="1">"c20566"</definedName>
    <definedName name="IQ_BOP_CURRENT_TRANSFER_GOVERNMENT_GRANTS" hidden="1">"c20567"</definedName>
    <definedName name="IQ_BOP_CURRENT_TRANSFER_GOVERNMENT_PENSIONS" hidden="1">"c20568"</definedName>
    <definedName name="IQ_BOP_CURRENT_TRANSFER_NET" hidden="1">"c20569"</definedName>
    <definedName name="IQ_BOP_CURRENT_TRANSFER_PRIVATE_TRANSFER" hidden="1">"c20570"</definedName>
    <definedName name="IQ_BOP_EXPORTS_AND_RECEIPTS" hidden="1">"c20571"</definedName>
    <definedName name="IQ_BOP_EXPORTS_GOODS" hidden="1">"c20572"</definedName>
    <definedName name="IQ_BOP_EXPORTS_GOODS_SERVICES" hidden="1">"c20573"</definedName>
    <definedName name="IQ_BOP_EXPORTS_SERVICES" hidden="1">"c20574"</definedName>
    <definedName name="IQ_BOP_EXPORTS_SERVICES_FARES" hidden="1">"c20575"</definedName>
    <definedName name="IQ_BOP_EXPORTS_SERVICES_GOVERNMENT_MISC" hidden="1">"c20576"</definedName>
    <definedName name="IQ_BOP_EXPORTS_SERVICES_MILITARY_SALES_CONTRACTS" hidden="1">"c20577"</definedName>
    <definedName name="IQ_BOP_EXPORTS_SERVICES_OTHER" hidden="1">"c20578"</definedName>
    <definedName name="IQ_BOP_EXPORTS_SERVICES_ROYALTIES" hidden="1">"c20579"</definedName>
    <definedName name="IQ_BOP_EXPORTS_SERVICES_TRANSPORTATION" hidden="1">"c20580"</definedName>
    <definedName name="IQ_BOP_EXPORTS_SERVICES_TRAVEL" hidden="1">"c20581"</definedName>
    <definedName name="IQ_BOP_FOREIGN_ASSETS" hidden="1">"c20582"</definedName>
    <definedName name="IQ_BOP_FOREIGN_ASSETS_OFFICIAL" hidden="1">"c20583"</definedName>
    <definedName name="IQ_BOP_FOREIGN_ASSETS_OFFICIAL_BANK_LIABILITIES" hidden="1">"c20584"</definedName>
    <definedName name="IQ_BOP_FOREIGN_ASSETS_OFFICIAL_GOVT_LIABILITIES" hidden="1">"c20585"</definedName>
    <definedName name="IQ_BOP_FOREIGN_ASSETS_OFFICIAL_GOVT_SECURITIES" hidden="1">"c20586"</definedName>
    <definedName name="IQ_BOP_FOREIGN_ASSETS_OFFICIAL_GOVT_SECURITIES_OTHER" hidden="1">"c20587"</definedName>
    <definedName name="IQ_BOP_FOREIGN_ASSETS_OFFICIAL_OTHER" hidden="1">"c20588"</definedName>
    <definedName name="IQ_BOP_FOREIGN_ASSETS_OFFICIAL_TREASURIES" hidden="1">"c20589"</definedName>
    <definedName name="IQ_BOP_FOREIGN_ASSETS_OTHER" hidden="1">"c20590"</definedName>
    <definedName name="IQ_BOP_FOREIGN_ASSETS_OTHER_BANK_LIABILITIES" hidden="1">"c20591"</definedName>
    <definedName name="IQ_BOP_FOREIGN_ASSETS_OTHER_CURRENCY" hidden="1">"c20592"</definedName>
    <definedName name="IQ_BOP_FOREIGN_ASSETS_OTHER_DIRECT_INVEST" hidden="1">"c20593"</definedName>
    <definedName name="IQ_BOP_FOREIGN_ASSETS_OTHER_LIABILITIES_TO_FOREIGNERS" hidden="1">"c20594"</definedName>
    <definedName name="IQ_BOP_FOREIGN_ASSETS_OTHER_SECURITIES" hidden="1">"c20595"</definedName>
    <definedName name="IQ_BOP_FOREIGN_ASSETS_OTHER_TREASURIES" hidden="1">"c20596"</definedName>
    <definedName name="IQ_BOP_IMPORTS_AND_PAYMENTS" hidden="1">"c20597"</definedName>
    <definedName name="IQ_BOP_IMPORTS_GOODS" hidden="1">"c20598"</definedName>
    <definedName name="IQ_BOP_IMPORTS_GOODS_SERVICES" hidden="1">"c20599"</definedName>
    <definedName name="IQ_BOP_IMPORTS_SERVICES" hidden="1">"c20600"</definedName>
    <definedName name="IQ_BOP_IMPORTS_SERVICES_DEF_EXPENDITURES" hidden="1">"c20601"</definedName>
    <definedName name="IQ_BOP_IMPORTS_SERVICES_FARES" hidden="1">"c20602"</definedName>
    <definedName name="IQ_BOP_IMPORTS_SERVICES_GOVERNMENT_MISC" hidden="1">"c20603"</definedName>
    <definedName name="IQ_BOP_IMPORTS_SERVICES_OTHER" hidden="1">"c20604"</definedName>
    <definedName name="IQ_BOP_IMPORTS_SERVICES_ROYALTIES" hidden="1">"c20605"</definedName>
    <definedName name="IQ_BOP_IMPORTS_SERVICES_TRANSPORTATION" hidden="1">"c20606"</definedName>
    <definedName name="IQ_BOP_IMPORTS_SERVICES_TRAVEL" hidden="1">"c20607"</definedName>
    <definedName name="IQ_BOP_PAYMENTS" hidden="1">"c20608"</definedName>
    <definedName name="IQ_BOP_PAYMENTS_DIRECT_INVEST" hidden="1">"c20609"</definedName>
    <definedName name="IQ_BOP_PAYMENTS_EMPLOYEE_COMPENSATION" hidden="1">"c20610"</definedName>
    <definedName name="IQ_BOP_PAYMENTS_FOREGN_OWNED_ASSETS" hidden="1">"c20611"</definedName>
    <definedName name="IQ_BOP_PAYMENTS_GOVT" hidden="1">"c20612"</definedName>
    <definedName name="IQ_BOP_PAYMENTS_OTHER" hidden="1">"c20613"</definedName>
    <definedName name="IQ_BOP_RECEIPTS" hidden="1">"c20614"</definedName>
    <definedName name="IQ_BOP_RECEIPTS_DIRECT_INVEST" hidden="1">"c20615"</definedName>
    <definedName name="IQ_BOP_RECEIPTS_EMPLOYEE_COMPENSATION" hidden="1">"c20616"</definedName>
    <definedName name="IQ_BOP_RECEIPTS_GOVT" hidden="1">"c20617"</definedName>
    <definedName name="IQ_BOP_RECEIPTS_OTHER" hidden="1">"c20618"</definedName>
    <definedName name="IQ_BOP_RECEIPTS_US_ASSETS_ABROAD" hidden="1">"c20619"</definedName>
    <definedName name="IQ_BOP_STATISTICAL_DISCREPANCY" hidden="1">"c20620"</definedName>
    <definedName name="IQ_BOP_US_ASSETS_ABROAD" hidden="1">"c20621"</definedName>
    <definedName name="IQ_BOP_US_GOVT_ASSETS" hidden="1">"c20622"</definedName>
    <definedName name="IQ_BOP_US_GOVT_ASSETS_FX" hidden="1">"c20623"</definedName>
    <definedName name="IQ_BOP_US_GOVT_ASSETS_US_CREDITS" hidden="1">"c20624"</definedName>
    <definedName name="IQ_BOP_US_GOVT_ASSETS_US_CREDITS_REPAYMENTS" hidden="1">"c20625"</definedName>
    <definedName name="IQ_BOP_US_PRIVATE_ASSETS" hidden="1">"c20626"</definedName>
    <definedName name="IQ_BOP_US_PRIVATE_ASSETS_CLAIMS_BANKS_BROKERS" hidden="1">"c20627"</definedName>
    <definedName name="IQ_BOP_US_PRIVATE_ASSETS_CLAIMS_ON_FOREIGNERS" hidden="1">"c20628"</definedName>
    <definedName name="IQ_BOP_US_PRIVATE_ASSETS_DIRECT_INVEST" hidden="1">"c20629"</definedName>
    <definedName name="IQ_BOP_US_PRIVATE_ASSETS_FOREIGN_SECURITIES" hidden="1">"c20630"</definedName>
    <definedName name="IQ_BOP_US_RESERVE_ASSETS" hidden="1">"c20631"</definedName>
    <definedName name="IQ_BOP_US_RESERVE_ASSETS_DRAWING_RIGHTS" hidden="1">"c20632"</definedName>
    <definedName name="IQ_BOP_US_RESERVE_ASSETS_FX" hidden="1">"c20633"</definedName>
    <definedName name="IQ_BOP_US_RESERVE_ASSETS_GOLD" hidden="1">"c20634"</definedName>
    <definedName name="IQ_BOP_US_RESERVE_ASSETS_IMF_RESERVES" hidden="1">"c20635"</definedName>
    <definedName name="IQ_BROKER_DEPOSITS_TOTAL_DEPOSITS_THRIFT" hidden="1">"c25781"</definedName>
    <definedName name="IQ_BROKER_ORIGINATED_DEPOSITS_FULLY_INSURED_100000_THROUGH_250000_THRIFT" hidden="1">"c24980"</definedName>
    <definedName name="IQ_BROKER_ORIGINATED_DEPOSITS_FULLY_INSURED_LESS_THAN_100000_THRIFT" hidden="1">"c24979"</definedName>
    <definedName name="IQ_BROKERED_DEPOSITS_FDIC" hidden="1">"c6486"</definedName>
    <definedName name="IQ_CAPEX_CM" hidden="1">"c111"</definedName>
    <definedName name="IQ_CAPITAL_CONTRIBUTIONS_SAVINGS_ASSOCIATION_THRIFT" hidden="1">"c25014"</definedName>
    <definedName name="IQ_CAPITALIZED_INT_THRIFT" hidden="1">"c24763"</definedName>
    <definedName name="IQ_CARRYING_AMT_DEBT_SEC_COVERED_FDIC_LOSS_SHARING_AGREEMENTS_THRIFT" hidden="1">"c24944"</definedName>
    <definedName name="IQ_CARRYING_AMT_LOANS_LEASES_COVERED_FDIC_LOSS_SHARING_AGREEMENTS_THRIFT" hidden="1">"c24942"</definedName>
    <definedName name="IQ_CARRYING_AMT_OTHER_ASSETS_COVERED_FDIC_LOSS_SHARING_AGREEMENTS_THRIFT" hidden="1">"c24945"</definedName>
    <definedName name="IQ_CARRYING_AMT_RE_OWNED_COVERED_FDIC_LOSS_SHARING_AGREEMENTS_THRIFT" hidden="1">"c24943"</definedName>
    <definedName name="IQ_CASH_DIVIDENDS_NET_INCOME_FDIC" hidden="1">"c6738"</definedName>
    <definedName name="IQ_CASH_DIVIDENDS_NET_INCOME_THRIFT" hidden="1">"c25634"</definedName>
    <definedName name="IQ_CASH_ELIGIBLE_0_PCT_RISK_WEIGHT_THRIFT" hidden="1">"c25051"</definedName>
    <definedName name="IQ_CASH_FLOW_AP" hidden="1">"c25889"</definedName>
    <definedName name="IQ_CASH_FLOW_AP_CO" hidden="1">"c25890"</definedName>
    <definedName name="IQ_CASH_FLOW_INDUSTRY" hidden="1">"c25885"</definedName>
    <definedName name="IQ_CASH_FLOW_INDUSTRY_CO" hidden="1">"c25886"</definedName>
    <definedName name="IQ_CASH_FLOW_STANDARD" hidden="1">"c25887"</definedName>
    <definedName name="IQ_CASH_FLOW_STANDARD_CO" hidden="1">"c25888"</definedName>
    <definedName name="IQ_CASH_IN_PROCESS_FDIC" hidden="1">"c6386"</definedName>
    <definedName name="IQ_CASH_NON_INT_EARNING_DEPOSITS_THRIFT" hidden="1">"c24818"</definedName>
    <definedName name="IQ_CASH_STRUCTURED_PRODUCTS_AFS_AMORT_COST_FFIEC" hidden="1">"c20500"</definedName>
    <definedName name="IQ_CASH_STRUCTURED_PRODUCTS_AFS_FAIR_VAL_FFIEC" hidden="1">"c20465"</definedName>
    <definedName name="IQ_CASH_STRUCTURED_PRODUCTS_HTM_AMORT_COST_FFIEC" hidden="1">"c20448"</definedName>
    <definedName name="IQ_CASH_STRUCTURED_PRODUCTS_HTM_FAIR_VAL_FFIEC" hidden="1">"c20483"</definedName>
    <definedName name="IQ_CATASTROPHIC_LOSSES" hidden="1">"c17694"</definedName>
    <definedName name="IQ_CC_RELATED_DUE_90_FFIEC" hidden="1">"c25833"</definedName>
    <definedName name="IQ_CC_RELATED_LOANS_DUE_30_89_FFIEC" hidden="1">"c25832"</definedName>
    <definedName name="IQ_CC_RELATED_NON_ACCRUAL_FFIEC" hidden="1">"c25834"</definedName>
    <definedName name="IQ_CCE_FDIC" hidden="1">"c6296"</definedName>
    <definedName name="IQ_CH" hidden="1">110000</definedName>
    <definedName name="IQ_CHANGE_AP_CM" hidden="1">"c135"</definedName>
    <definedName name="IQ_CHANGE_AR_CM" hidden="1">"c142"</definedName>
    <definedName name="IQ_CHANGE_OTHER_NET_OPER_ASSETS_CM" hidden="1">"c3595"</definedName>
    <definedName name="IQ_CHANGE_OTHER_WORK_CAP_CM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VA_THRIFT" hidden="1">"c25096"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SVA_THRIFT" hidden="1">"c25103"</definedName>
    <definedName name="IQ_CHARGE_OFFS_TVA_THRIFT" hidden="1">"c25110"</definedName>
    <definedName name="IQ_CIK" hidden="1">"c20384"</definedName>
    <definedName name="IQ_CIP" hidden="1">"c17551"</definedName>
    <definedName name="IQ_CLAIMS_DOMESTIC_DEPOSITORY_INSTITUTIONS_ELIGIBLE_20_PCT_RISK_WEIGHT_THRIFT" hidden="1">"c25060"</definedName>
    <definedName name="IQ_CLAIMS_FHLBS_ELIGIBLE_20_PCT_RISK_WEIGHT_THRIFT" hidden="1">"c25058"</definedName>
    <definedName name="IQ_CLOSED_END_1_4_FAMILY_LOANS_TOTAL_LOANS_THRIFT" hidden="1">"c25742"</definedName>
    <definedName name="IQ_CLOSED_END_LOANS_GROSS_LOANS_THRIFT" hidden="1">"c25724"</definedName>
    <definedName name="IQ_CLOSED_END_LOANS_RISK_BASED_CAPITAL_THRIFT" hidden="1">"c25709"</definedName>
    <definedName name="IQ_CLOSED_PURCHASED_COMM_NON_MORTGAGE_LOANS_THRIFT" hidden="1">"c25339"</definedName>
    <definedName name="IQ_CLOSED_PURCHASED_CONSUMER_NON_MORTGAGE_LOANS_THRIFT" hidden="1">"c25341"</definedName>
    <definedName name="IQ_CMBS_ISSUED_AFS_AMORT_COST_FFIEC" hidden="1">"c20497"</definedName>
    <definedName name="IQ_CMBS_ISSUED_AFS_FAIR_VAL_FFIEC" hidden="1">"c20462"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MO_THRIFT" hidden="1">"c24903"</definedName>
    <definedName name="IQ_COLLATERALIZED_MBS_ISSUED_GUARANTEED_FNMA_FHLMC_GNMA_THRIFT" hidden="1">"c24834"</definedName>
    <definedName name="IQ_COLLECTION_DOMESTIC_FDIC" hidden="1">"c6387"</definedName>
    <definedName name="IQ_COLLECTIVE_INV_FUNDS_COMMON_TRUST_FUNDS_DOMESTIC_EQUITY_MARKET_VALUE_FUNDED_ASSETS_THRIFT" hidden="1">"c25445"</definedName>
    <definedName name="IQ_COLLECTIVE_INV_FUNDS_COMMON_TRUST_FUNDS_DOMESTIC_EQUITY_NUMBER_FUNDS_THRIFT" hidden="1">"c25446"</definedName>
    <definedName name="IQ_COLLECTIVE_INV_FUNDS_COMMON_TRUST_FUNDS_INTERNATIONALGLOBAL_EQUITY_MARKET_VALUE_FUNDED_ASSETS_THRIFT" hidden="1">"c25447"</definedName>
    <definedName name="IQ_COLLECTIVE_INV_FUNDS_COMMON_TRUST_FUNDS_INTERNATIONALGLOBAL_EQUITY_NUMBER_FUNDS_THRIFT" hidden="1">"c25448"</definedName>
    <definedName name="IQ_COLLECTIVE_INV_FUNDS_COMMON_TRUST_FUNDS_MUNICIPAL_BOND_MARKET_VALUE_FUNDED_ASSETS_THRIFT" hidden="1">"c25453"</definedName>
    <definedName name="IQ_COLLECTIVE_INV_FUNDS_COMMON_TRUST_FUNDS_MUNICIPAL_BOND_NUMBER_FUNDS_THRIFT" hidden="1">"c25454"</definedName>
    <definedName name="IQ_COLLECTIVE_INV_FUNDS_COMMON_TRUST_FUNDS_SHORT_TERM_INVESTMENTSMONEY_MARKET_MARKET_VALUE_FUNDED_ASSETS_THRIFT" hidden="1">"c25455"</definedName>
    <definedName name="IQ_COLLECTIVE_INV_FUNDS_COMMON_TRUST_FUNDS_SHORT_TERM_INVESTMENTSMONEY_MARKET_NUMBER_FUNDS_THRIFT" hidden="1">"c25456"</definedName>
    <definedName name="IQ_COLLECTIVE_INV_FUNDS_COMMON_TRUST_FUNDS_SPECIALTYOTHER_MARKET_VALUE_FUNDED_ASSETS_THRIFT" hidden="1">"c25457"</definedName>
    <definedName name="IQ_COLLECTIVE_INV_FUNDS_COMMON_TRUST_FUNDS_SPECIALTYOTHER_NUMBER_FUNDS_THRIFT" hidden="1">"c25458"</definedName>
    <definedName name="IQ_COLLECTIVE_INV_FUNDS_COMMON_TRUST_FUNDS_STOCKBOND_BLEND_MARKET_VALUE_FUNDED_ASSETS_THRIFT" hidden="1">"c25449"</definedName>
    <definedName name="IQ_COLLECTIVE_INV_FUNDS_COMMON_TRUST_FUNDS_STOCKBOND_BLEND_NUMBER_FUNDS_THRIFT" hidden="1">"c25450"</definedName>
    <definedName name="IQ_COLLECTIVE_INV_FUNDS_COMMON_TRUST_FUNDS_TAXABLE_BOND_MARKET_VALUE_FUNDED_ASSETS_THRIFT" hidden="1">"c25451"</definedName>
    <definedName name="IQ_COLLECTIVE_INV_FUNDS_COMMON_TRUST_FUNDS_TAXABLE_BOND_NUMBER_FUNDS_THRIFT" hidden="1">"c25452"</definedName>
    <definedName name="IQ_COLLECTIVE_INV_FUNDS_COMMON_TRUST_FUNDS_TOTAL_COLLECTIVE_INV_FUNDS_MARKET_VALUE_FUNDED_ASSETS_THRIFT" hidden="1">"c25459"</definedName>
    <definedName name="IQ_COLLECTIVE_INV_FUNDS_COMMON_TRUST_FUNDS_TOTAL_COLLECTIVE_INV_FUNDS_NUMBER_FUNDS_THRIFT" hidden="1">"c25460"</definedName>
    <definedName name="IQ_COMM_LETTERS_CREDIT_THRIFT" hidden="1">"c25613"</definedName>
    <definedName name="IQ_COMM_LOANS_GROSS_LOANS_THRIFT" hidden="1">"c25732"</definedName>
    <definedName name="IQ_COMM_LOANS_NON_MORTGAGE_ADJUSTED_NCOS_TOTAL_THRIFT" hidden="1">"c25210"</definedName>
    <definedName name="IQ_COMM_LOANS_NON_MORTGAGE_GVA_CHARGE_OFFS_THRIFT" hidden="1">"c25125"</definedName>
    <definedName name="IQ_COMM_LOANS_NON_MORTGAGE_GVA_RECOVERIES_THRIFT" hidden="1">"c25156"</definedName>
    <definedName name="IQ_COMM_LOANS_NON_MORTGAGE_SVA_PROVISIONS_TRANSFERS_FROM_GVA_TOTAL_THRIFT" hidden="1">"c25179"</definedName>
    <definedName name="IQ_COMM_LOANS_RISK_BASED_CAPITAL_THRIFT" hidden="1">"c25717"</definedName>
    <definedName name="IQ_COMM_LOANS_THRIFT" hidden="1">"c24853"</definedName>
    <definedName name="IQ_COMM_LOANS_TOTAL_LOANS_THRIFT" hidden="1">"c25749"</definedName>
    <definedName name="IQ_COMM_NON_MORTGAGE_LOANS_DUE_30_89_THRIFT" hidden="1">"c25247"</definedName>
    <definedName name="IQ_COMM_NON_MORTGAGE_LOANS_DUE_90_THRIFT" hidden="1">"c25268"</definedName>
    <definedName name="IQ_COMM_NON_MORTGAGE_LOANS_NON_ACCRUAL_THRIFT" hidden="1">"c25289"</definedName>
    <definedName name="IQ_COMM_RE_FARM_LOANS_TOTAL_LOANS_THRIFT" hidden="1">"c25743"</definedName>
    <definedName name="IQ_COMM_RE_LOANS_GROSS_LOANS_THRIFT" hidden="1">"c25725"</definedName>
    <definedName name="IQ_COMM_RE_LOANS_RISK_BASED_CAPITAL_THRIFT" hidden="1">"c25710"</definedName>
    <definedName name="IQ_COMM_RE_NONFARM_NONRESIDENTIAL_TOTAL_LOANS_THRIFT" hidden="1">"c25746"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IND_UNUSED_FFIEC" hidden="1">"c25859"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CM" hidden="1">"c185"</definedName>
    <definedName name="IQ_COMMON_FDIC" hidden="1">"c6350"</definedName>
    <definedName name="IQ_COMMON_ISSUED_CM" hidden="1">"c199"</definedName>
    <definedName name="IQ_COMMON_REP_CM" hidden="1">"c208"</definedName>
    <definedName name="IQ_COMMON_STOCK_DIVIDENDS_DECLARED_SAVINGS_ASSOCIATION_THRIFT" hidden="1">"c25011"</definedName>
    <definedName name="IQ_COMMON_STOCK_THRIFT" hidden="1">"c24917"</definedName>
    <definedName name="IQ_COMMON_TRUST_FUNDS_COLLECTIVE_INV_FUNDS_ALL_OTHER_ACCOUNTS_THRIFT" hidden="1">"c25430"</definedName>
    <definedName name="IQ_COMMON_TRUST_FUNDS_COLLECTIVE_INV_FUNDS_EMPLOYEE_BENEFIT_RETIREMENT_RELATED_ACCOUNTS_THRIFT" hidden="1">"c25414"</definedName>
    <definedName name="IQ_COMMON_TRUST_FUNDS_COLLECTIVE_INV_FUNDS_PERSONAL_TRUST_AGENCY_INV_MANAGEMENT_ACCOUNTS_THRIFT" hidden="1">"c25398"</definedName>
    <definedName name="IQ_COMPANY_ID_QUICK_MATCH" hidden="1">"c16227"</definedName>
    <definedName name="IQ_COMPANY_MAIN_FAX" hidden="1">"c18016"</definedName>
    <definedName name="IQ_COMPANY_NAME_QUICK_MATCH" hidden="1">"c16228"</definedName>
    <definedName name="IQ_CONSTITUENTS_NAME" hidden="1">"c19192"</definedName>
    <definedName name="IQ_CONSTRUCTION_1_4_DWELLING_UNITS_THRIFT" hidden="1">"c24839"</definedName>
    <definedName name="IQ_CONSTRUCTION_DEV_LOANS_FDIC" hidden="1">"c6313"</definedName>
    <definedName name="IQ_CONSTRUCTION_LAND_DEVELOPMENT_CHARGE_OFFS_FDIC" hidden="1">"c6594"</definedName>
    <definedName name="IQ_CONSTRUCTION_LAND_DEVELOPMENT_LOANS_TOTAL_LOANS_THRIFT" hidden="1">"c25744"</definedName>
    <definedName name="IQ_CONSTRUCTION_LAND_DEVELOPMENT_NET_CHARGE_OFFS_FDIC" hidden="1">"c6632"</definedName>
    <definedName name="IQ_CONSTRUCTION_LAND_DEVELOPMENT_RECOVERIES_FDIC" hidden="1">"c6613"</definedName>
    <definedName name="IQ_CONSTRUCTION_LOANS_GROSS_LOANS_THRIFT" hidden="1">"c25726"</definedName>
    <definedName name="IQ_CONSTRUCTION_LOANS_IN_PROCESS_FORECLOSURE_THRIFT" hidden="1">"c25303"</definedName>
    <definedName name="IQ_CONSTRUCTION_LOANS_RISK_BASED_CAPITAL_THRIFT" hidden="1">"c25711"</definedName>
    <definedName name="IQ_CONSTRUCTION_MORTGAGE_LOANS_30_89_DAYS_PAST_DUE_STILL_ACCRUING_THRIFT" hidden="1">"c25240"</definedName>
    <definedName name="IQ_CONSTRUCTION_MORTGAGE_LOANS_DUE_90_THRIFT" hidden="1">"c25261"</definedName>
    <definedName name="IQ_CONSTRUCTION_MORTGAGE_LOANS_FORECLOSED_DURING_QUARTER_THRIFT" hidden="1">"c25231"</definedName>
    <definedName name="IQ_CONSTRUCTION_MORTGAGE_LOANS_NON_ACCRUAL_THRIFT" hidden="1">"c25282"</definedName>
    <definedName name="IQ_CONSTRUCTION_MORTGAGE_LOANS_THRIFT" hidden="1">"c24838"</definedName>
    <definedName name="IQ_CONSTRUCTION_MULTIFAMILY_DWELLING_UNITS_THRIFT" hidden="1">"c24840"</definedName>
    <definedName name="IQ_CONSTRUCTION_NONRES_PROPERTY_THRIFT" hidden="1">"c24841"</definedName>
    <definedName name="IQ_CONSUMER_AUTO_LOANS_DUE_90_THRIFT" hidden="1">"c25272"</definedName>
    <definedName name="IQ_CONSUMER_AUTO_LOANS_NON_MORTGAGE_ADJUSTED_NCOS_TOTAL_THRIFT" hidden="1">"c25214"</definedName>
    <definedName name="IQ_CONSUMER_AUTO_LOANS_NON_MORTGAGE_GVA_CHARGE_OFFS_THRIFT" hidden="1">"c25129"</definedName>
    <definedName name="IQ_CONSUMER_AUTO_LOANS_NON_MORTGAGE_GVA_RECOVERIES_THRIFT" hidden="1">"c25160"</definedName>
    <definedName name="IQ_CONSUMER_AUTO_LOANS_NON_MORTGAGE_LOANS_DUE_30_89_THRIFT" hidden="1">"c25251"</definedName>
    <definedName name="IQ_CONSUMER_AUTO_LOANS_NON_MORTGAGE_LOANS_NON_ACCRUAL_THRIFT" hidden="1">"c25293"</definedName>
    <definedName name="IQ_CONSUMER_AUTO_LOANS_NON_MORTGAGE_SVA_PROVISIONS_TRANSFERS_FROM_GVA_TOTAL_THRIFT" hidden="1">"c25183"</definedName>
    <definedName name="IQ_CONSUMER_CREDIT_CARD_LINES_UNUSED_FFIEC" hidden="1">"c25862"</definedName>
    <definedName name="IQ_CONSUMER_CREDIT_CARDS_NON_MORTGAGE_ADJUSTED_NCOS_TOTAL_THRIFT" hidden="1">"c25216"</definedName>
    <definedName name="IQ_CONSUMER_CREDIT_CARDS_NON_MORTGAGE_GVA_CHARGE_OFFS_THRIFT" hidden="1">"c25131"</definedName>
    <definedName name="IQ_CONSUMER_CREDIT_CARDS_NON_MORTGAGE_GVA_RECOVERIES_THRIFT" hidden="1">"c25162"</definedName>
    <definedName name="IQ_CONSUMER_CREDIT_CARDS_NON_MORTGAGE_LOANS_DUE_30_89_THRIFT" hidden="1">"c25253"</definedName>
    <definedName name="IQ_CONSUMER_CREDIT_CARDS_NON_MORTGAGE_LOANS_DUE_90_THRIFT" hidden="1">"c25274"</definedName>
    <definedName name="IQ_CONSUMER_CREDIT_CARDS_NON_MORTGAGE_LOANS_NON_ACCRUAL_THRIFT" hidden="1">"c25295"</definedName>
    <definedName name="IQ_CONSUMER_CREDIT_CARDS_NON_MORTGAGE_SVA_PROVISIONS_TRANSFERS_FROM_GVA_TOTAL_THRIFT" hidden="1">"c25185"</definedName>
    <definedName name="IQ_CONSUMER_EDUCATION_LOANS_NON_MORTGAGE_ADJUSTED_NCOS_TOTAL_THRIFT" hidden="1">"c25213"</definedName>
    <definedName name="IQ_CONSUMER_EDUCATION_LOANS_NON_MORTGAGE_GVA_CHARGE_OFFS_THRIFT" hidden="1">"c25128"</definedName>
    <definedName name="IQ_CONSUMER_EDUCATION_LOANS_NON_MORTGAGE_GVA_RECOVERIES_THRIFT" hidden="1">"c25159"</definedName>
    <definedName name="IQ_CONSUMER_EDUCATION_LOANS_NON_MORTGAGE_SVA_PROVISIONS_TRANSFERS_FROM_GVA_TOTAL_THRIFT" hidden="1">"c25182"</definedName>
    <definedName name="IQ_CONSUMER_EDUCATION_NON_MORTGAGE_LOANS_DUE_30_89_THRIFT" hidden="1">"c25250"</definedName>
    <definedName name="IQ_CONSUMER_EDUCATION_NON_MORTGAGE_LOANS_DUE_90_THRIFT" hidden="1">"c25271"</definedName>
    <definedName name="IQ_CONSUMER_EDUCATION_NON_MORTGAGE_LOANS_NON_ACCRUAL_THRIFT" hidden="1">"c25292"</definedName>
    <definedName name="IQ_CONSUMER_HOME_IMPROVEMENT_LOANS_NON_MORTGAGE_ADJUSTED_NCOS_TOTAL_THRIFT" hidden="1">"c25212"</definedName>
    <definedName name="IQ_CONSUMER_HOME_IMPROVEMENT_LOANS_NON_MORTGAGE_GVA_CHARGE_OFFS_THRIFT" hidden="1">"c25127"</definedName>
    <definedName name="IQ_CONSUMER_HOME_IMPROVEMENT_LOANS_NON_MORTGAGE_GVA_RECOVERIES_THRIFT" hidden="1">"c25158"</definedName>
    <definedName name="IQ_CONSUMER_HOME_IMPROVEMENT_LOANS_NON_MORTGAGE_SVA_PROVISIONS_TRANSFERS_FROM_GVA_TOTAL_THRIFT" hidden="1">"c25181"</definedName>
    <definedName name="IQ_CONSUMER_HOME_IMPROVEMENT_NON_MORTGAGE_LOANS_DUE_30_89_THRIFT" hidden="1">"c25249"</definedName>
    <definedName name="IQ_CONSUMER_HOME_IMPROVEMENT_NON_MORTGAGE_LOANS_DUE_90_THRIFT" hidden="1">"c25270"</definedName>
    <definedName name="IQ_CONSUMER_HOME_IMPROVEMENT_NON_MORTGAGE_LOANS_NON_ACCRUAL_THRIFT" hidden="1">"c25291"</definedName>
    <definedName name="IQ_CONSUMER_LL_REC_FFIEC" hidden="1">"c25869"</definedName>
    <definedName name="IQ_CONSUMER_LOANS_CHARGE_OFFS_FFIEC" hidden="1">"c25838"</definedName>
    <definedName name="IQ_CONSUMER_LOANS_DEPOSITS_NON_MORTGAGE_ADJUSTED_NCOS_TOTAL_THRIFT" hidden="1">"c25211"</definedName>
    <definedName name="IQ_CONSUMER_LOANS_DEPOSITS_NON_MORTGAGE_GVA_CHARGE_OFFS_THRIFT" hidden="1">"c25126"</definedName>
    <definedName name="IQ_CONSUMER_LOANS_DEPOSITS_NON_MORTGAGE_GVA_RECOVERIES_THRIFT" hidden="1">"c25157"</definedName>
    <definedName name="IQ_CONSUMER_LOANS_DEPOSITS_NON_MORTGAGE_LOANS_DUE_30_89_THRIFT" hidden="1">"c25248"</definedName>
    <definedName name="IQ_CONSUMER_LOANS_DEPOSITS_NON_MORTGAGE_LOANS_DUE_90_THRIFT" hidden="1">"c25269"</definedName>
    <definedName name="IQ_CONSUMER_LOANS_DEPOSITS_NON_MORTGAGE_LOANS_NON_ACCRUAL_THRIFT" hidden="1">"c25290"</definedName>
    <definedName name="IQ_CONSUMER_LOANS_DEPOSITS_NON_MORTGAGE_SVA_PROVISIONS_TRANSFERS_FROM_GVA_TOTAL_THRIFT" hidden="1">"c25180"</definedName>
    <definedName name="IQ_CONSUMER_LOANS_DEPOSITS_THRIFT" hidden="1">"c24859"</definedName>
    <definedName name="IQ_CONSUMER_LOANS_DUE_30_89_FFIEC" hidden="1">"c25829"</definedName>
    <definedName name="IQ_CONSUMER_LOANS_DUE_90_FFIEC" hidden="1">"c25830"</definedName>
    <definedName name="IQ_CONSUMER_LOANS_NON_ACCRUAL_FFIEC" hidden="1">"c25831"</definedName>
    <definedName name="IQ_CONSUMER_LOANS_RECOV_FFIEC" hidden="1">"c25839"</definedName>
    <definedName name="IQ_CONSUMER_LOANS_THRIFT" hidden="1">"c24858"</definedName>
    <definedName name="IQ_CONSUMER_LOANS_TOTAL_LOANS_THRIFT" hidden="1">"c25750"</definedName>
    <definedName name="IQ_CONSUMER_MOBILE_HOME_LOANS_NON_MORTGAGE_ADJUSTED_NCOS_TOTAL_THRIFT" hidden="1">"c25215"</definedName>
    <definedName name="IQ_CONSUMER_MOBILE_HOME_LOANS_NON_MORTGAGE_GVA_CHARGE_OFFS_THRIFT" hidden="1">"c25130"</definedName>
    <definedName name="IQ_CONSUMER_MOBILE_HOME_LOANS_NON_MORTGAGE_GVA_RECOVERIES_THRIFT" hidden="1">"c25161"</definedName>
    <definedName name="IQ_CONSUMER_MOBILE_HOME_LOANS_NON_MORTGAGE_LOANS_DUE_30_89_THRIFT" hidden="1">"c25252"</definedName>
    <definedName name="IQ_CONSUMER_MOBILE_HOME_LOANS_NON_MORTGAGE_LOANS_DUE_90_THRIFT" hidden="1">"c25273"</definedName>
    <definedName name="IQ_CONSUMER_MOBILE_HOME_LOANS_NON_MORTGAGE_LOANS_NON_ACCRUAL_THRIFT" hidden="1">"c25294"</definedName>
    <definedName name="IQ_CONSUMER_MOBILE_HOME_LOANS_NON_MORTGAGE_SVA_PROVISIONS_TRANSFERS_FROM_GVA_TOTAL_THRIFT" hidden="1">"c25184"</definedName>
    <definedName name="IQ_CONSUMER_OTHER_NON_MORTGAGE_ADJUSTED_NCOS_TOTAL_THRIFT" hidden="1">"c25217"</definedName>
    <definedName name="IQ_CONSUMER_OTHER_NON_MORTGAGE_GVA_RECOVERIES_THRIFT" hidden="1">"c25163"</definedName>
    <definedName name="IQ_CONSUMER_OTHER_NON_MORTGAGE_LOANS_DUE_30_89_THRIFT" hidden="1">"c25254"</definedName>
    <definedName name="IQ_CONSUMER_OTHER_NON_MORTGAGE_LOANS_DUE_90_THRIFT" hidden="1">"c25275"</definedName>
    <definedName name="IQ_CONSUMER_OTHER_NON_MORTGAGE_LOANS_GVA_CHARGE_OFFS_THRIFT" hidden="1">"c25132"</definedName>
    <definedName name="IQ_CONSUMER_OTHER_NON_MORTGAGE_LOANS_NON_ACCRUAL_THRIFT" hidden="1">"c25296"</definedName>
    <definedName name="IQ_CONSUMER_OTHER_NON_MORTGAGE_SVA_PROVISIONS_TRANSFERS_FROM_GVA_TOTAL_THRIFT" hidden="1">"c25186"</definedName>
    <definedName name="IQ_CONTINGENT_ASSETS_THRIFT" hidden="1">"c25622"</definedName>
    <definedName name="IQ_CONTINGENT_RENTAL" hidden="1">"c17746"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E_DEPOSITS_THRIFT" hidden="1">"c25089"</definedName>
    <definedName name="IQ_CORE_DEPOSITS_TOTAL_ASSETS_THRIFT" hidden="1">"c25699"</definedName>
    <definedName name="IQ_CORE_DEPOSITS_TOTAL_DEPOSITS_THRIFT" hidden="1">"c25782"</definedName>
    <definedName name="IQ_CORP_PROFIT" hidden="1">"c20636"</definedName>
    <definedName name="IQ_CORP_PROFITS_AFTER_TAXES" hidden="1">"c20637"</definedName>
    <definedName name="IQ_CORP_PROFITS_TAXES" hidden="1">"c20638"</definedName>
    <definedName name="IQ_CORPORATE_MUNICIPAL_TRUSTEESHIPS_NUMBER_ISSUES_THRIFT" hidden="1">"c25441"</definedName>
    <definedName name="IQ_CORPORATE_MUNICIPAL_TRUSTEESHIPS_PRINCIPAL_AMT_OUTSTANDING_THRIFT" hidden="1">"c25440"</definedName>
    <definedName name="IQ_CORPORATE_TRUST_AGENCY_ACCOUNTS_INC_THRIFT" hidden="1">"c24805"</definedName>
    <definedName name="IQ_CORPORATE_TRUST_AGENCY_ACCOUNTS_MANAGED_ASSETS_THRIFT" hidden="1">"c25352"</definedName>
    <definedName name="IQ_CORPORATE_TRUST_AGENCY_ACCOUNTS_NONMANAGED_ASSETS_THRIFT" hidden="1">"c25373"</definedName>
    <definedName name="IQ_CORPORATE_TRUST_AGENCY_ACCOUNTS_NUMBER_MANAGED_ACCOUNTS_THRIFT" hidden="1">"c25363"</definedName>
    <definedName name="IQ_CORPORATE_TRUST_AGENCY_ACCOUNTS_NUMBER_NONMANAGED_ACCOUNTS_THRIFT" hidden="1">"c25385"</definedName>
    <definedName name="IQ_COST_FED_FUNDS_PURCHASED_THRIFT" hidden="1">"c25681"</definedName>
    <definedName name="IQ_COST_INT_BEARING_DEPOSITS_THRIFT" hidden="1">"c25680"</definedName>
    <definedName name="IQ_COST_OF_FUNDING_ASSETS_FDIC" hidden="1">"c6725"</definedName>
    <definedName name="IQ_COST_OTHER_BORROWED_FUNDS_THRIFT" hidden="1">"c25682"</definedName>
    <definedName name="IQ_CPI_YOY_PCT" hidden="1">"c20639"</definedName>
    <definedName name="IQ_CPI_YOY_PCT_FC" hidden="1">"c20640"</definedName>
    <definedName name="IQ_CQ" hidden="1">5000</definedName>
    <definedName name="IQ_CREDIT_CARD_CHARGE_OFFS_FDIC" hidden="1">"c6652"</definedName>
    <definedName name="IQ_CREDIT_CARD_CHARGE_OFFS_RELATED_ACCRUED_INTEREST_THRIFT" hidden="1">"c25228"</definedName>
    <definedName name="IQ_CREDIT_CARD_LINES_FDIC" hidden="1">"c6525"</definedName>
    <definedName name="IQ_CREDIT_CARD_LOANS_FDIC" hidden="1">"c6319"</definedName>
    <definedName name="IQ_CREDIT_CARD_LOANS_GROSS_LOANS_THRIFT" hidden="1">"c25734"</definedName>
    <definedName name="IQ_CREDIT_CARD_LOANS_OUTSTANDING_BUS_NON_MORTGAGE_COMM_LOANS_THRIFT" hidden="1">"c24856"</definedName>
    <definedName name="IQ_CREDIT_CARD_LOANS_RELATED_CHARGE_OFFS_FFIEC" hidden="1">"c25840"</definedName>
    <definedName name="IQ_CREDIT_CARD_LOANS_RELATED_RECOV_FFIEC" hidden="1">"c25841"</definedName>
    <definedName name="IQ_CREDIT_CARD_LOANS_RISK_BASED_CAPITAL_THRIFT" hidden="1">"c25719"</definedName>
    <definedName name="IQ_CREDIT_CARD_NET_CHARGE_OFFS_FDIC" hidden="1">"c6654"</definedName>
    <definedName name="IQ_CREDIT_CARD_RECOVERIES_FDIC" hidden="1">"c6653"</definedName>
    <definedName name="IQ_CREDIT_CARD_RELATED_LL_REC_FFIEC" hidden="1">"c25870"</definedName>
    <definedName name="IQ_CREDIT_CARDS_CONSUMER_OPEN_END_LINES_CREDIT_THRIFT" hidden="1">"c25609"</definedName>
    <definedName name="IQ_CREDIT_CARDS_OTHER_OPEN_END_LINES_CREDIT_THRIFT" hidden="1">"c25610"</definedName>
    <definedName name="IQ_CREDIT_CARDS_THRIFT" hidden="1">"c24864"</definedName>
    <definedName name="IQ_CREDIT_LOSS_PROVISION_NET_CHARGE_OFFS_FDIC" hidden="1">"c6734"</definedName>
    <definedName name="IQ_CUM_EFFECT_CHANGE_ACCOUNTING_FFIEC" hidden="1">"c25849"</definedName>
    <definedName name="IQ_CUMULATIVE_PREF_THRIFT" hidden="1">"c24915"</definedName>
    <definedName name="IQ_CURR_ACCT_BALANCE" hidden="1">"c20641"</definedName>
    <definedName name="IQ_CURR_ACCT_BALANCE_PCT_GDP" hidden="1">"c20642"</definedName>
    <definedName name="IQ_CURRENCY_COIN_DOMESTIC_FDIC" hidden="1">"c6388"</definedName>
    <definedName name="IQ_CURRENCY_GAIN_CM" hidden="1">"c236"</definedName>
    <definedName name="IQ_CURRENT_PORT_DEBT_CM" hidden="1">"c1567"</definedName>
    <definedName name="IQ_CURRENT_PORT_DEBT_DERIVATIVES" hidden="1">"c17742"</definedName>
    <definedName name="IQ_CUSTODY_SAFEKEEPING_ACCOUNTS_INC_THRIFT" hidden="1">"c24809"</definedName>
    <definedName name="IQ_CUSTODY_SAFEKEEPING_ACCOUNTS_NONMANAGED_ASSETS_THRIFT" hidden="1">"c25377"</definedName>
    <definedName name="IQ_CUSTODY_SAFEKEEPING_ACCOUNTS_NUMBER_NONMANAGED_ACCOUNTS_THRIFT" hidden="1">"c25389"</definedName>
    <definedName name="IQ_CY" hidden="1">10000</definedName>
    <definedName name="IQ_DA_CF_CM" hidden="1">"c251"</definedName>
    <definedName name="IQ_DA_CM" hidden="1">"c248"</definedName>
    <definedName name="IQ_DA_SUPPL_CF_CM" hidden="1">"c263"</definedName>
    <definedName name="IQ_DA_SUPPL_CM" hidden="1">"c260"</definedName>
    <definedName name="IQ_DAILY" hidden="1">500000</definedName>
    <definedName name="IQ_DART" hidden="1">"c20427"</definedName>
    <definedName name="IQ_DATA_SET" hidden="1">"c19244"</definedName>
    <definedName name="IQ_DEBT_SECURITIES_LESS_THAN_1YR_INV_SEC_THRIFT" hidden="1">"c25676"</definedName>
    <definedName name="IQ_DEBT_SECURITIES_OVER_1YR_INV_SEC_THRIFT" hidden="1">"c25677"</definedName>
    <definedName name="IQ_DEDUCTION_EQUITY_INV_OTHER_ASSETS_THRIFT" hidden="1">"c25047"</definedName>
    <definedName name="IQ_DEDUCTION_LOW_LEVEL_RECOURSE_RESIDUAL_INTERESTS_THRIFT" hidden="1">"c25048"</definedName>
    <definedName name="IQ_DEF_AMORT_CM" hidden="1">"c278"</definedName>
    <definedName name="IQ_DEF_CHARGES_CM" hidden="1">"c288"</definedName>
    <definedName name="IQ_DEF_CHARGES_LT_CM" hidden="1">"c294"</definedName>
    <definedName name="IQ_DEF_TAX_ASSET_LT_CM" hidden="1">"c304"</definedName>
    <definedName name="IQ_DEF_TAX_LIAB_LT_CM" hidden="1">"c315"</definedName>
    <definedName name="IQ_DEFERRED_INCOME_TAXES_THRIFT" hidden="1">"c24911"</definedName>
    <definedName name="IQ_DEMAND_DEPOSITS_CONSOLIDATED_SUBSIDIARIES_THRIFT" hidden="1">"c25570"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ACQUIRED_NET_DISPOSITIONS_IN_BULK_TRANSACTIONS_THRIFT" hidden="1">"c25345"</definedName>
    <definedName name="IQ_DEPOSITS_AMOUNTS_NETTED_THRIFT" hidden="1">"c25534"</definedName>
    <definedName name="IQ_DEPOSITS_ESCROWS_THRIFT" hidden="1">"c24895"</definedName>
    <definedName name="IQ_DEPOSITS_EXCLUDING_RETIREMENT_ACCOUNTS_GREATER_THAN_250000_THRIFT" hidden="1">"c24986"</definedName>
    <definedName name="IQ_DEPOSITS_EXCLUDING_RETIREMENT_ACCOUNTS_LESS_THAN_250000_THRIFT" hidden="1">"c24985"</definedName>
    <definedName name="IQ_DEPOSITS_HELD_DOMESTIC_FDIC" hidden="1">"c6340"</definedName>
    <definedName name="IQ_DEPOSITS_HELD_FOREIGN_FDIC" hidden="1">"c6341"</definedName>
    <definedName name="IQ_DEPOSITS_INV_SEC_GVA_CHARGE_OFFS_THRIFT" hidden="1">"c25112"</definedName>
    <definedName name="IQ_DEPOSITS_INV_SEC_GVA_RECOVERIES_THRIFT" hidden="1">"c25143"</definedName>
    <definedName name="IQ_DEPOSITS_INV_SEC_SVA_PROVISIONS_TRANSFERS_FROM_GVA_THRIFT" hidden="1">"c25166"</definedName>
    <definedName name="IQ_DEPOSITS_INV_SEC_TOTAL_THRIFT" hidden="1">"c25197"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THRIFT" hidden="1">"c25530"</definedName>
    <definedName name="IQ_DEPOSITS_LEVEL_2_THRIFT" hidden="1">"c25531"</definedName>
    <definedName name="IQ_DEPOSITS_LEVEL_3_THRIFT" hidden="1">"c25532"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OSITS_THRIFT" hidden="1">"c24896"</definedName>
    <definedName name="IQ_DEPOSITS_TOTAL_AFTER_NETTING_THRIFT" hidden="1">"c25535"</definedName>
    <definedName name="IQ_DEPOSITS_TOTAL_BEFORE_NETTING_THRIFT" hidden="1">"c25533"</definedName>
    <definedName name="IQ_DEPRECIATION_RENTAL_ASSETS" hidden="1">"c26972"</definedName>
    <definedName name="IQ_DEPRECIATION_RENTAL_ASSETS_CF" hidden="1">"c26973"</definedName>
    <definedName name="IQ_DERIVATIVE_ASSETS_AMOUNTS_NETTED_THRIFT" hidden="1">"c25510"</definedName>
    <definedName name="IQ_DERIVATIVE_ASSETS_CURRENT" hidden="1">"c17744"</definedName>
    <definedName name="IQ_DERIVATIVE_ASSETS_LEVEL_1_THRIFT" hidden="1">"c25506"</definedName>
    <definedName name="IQ_DERIVATIVE_ASSETS_LEVEL_2_THRIFT" hidden="1">"c25507"</definedName>
    <definedName name="IQ_DERIVATIVE_ASSETS_LEVEL_3_THRIFT" hidden="1">"c25508"</definedName>
    <definedName name="IQ_DERIVATIVE_ASSETS_LT" hidden="1">"c17745"</definedName>
    <definedName name="IQ_DERIVATIVE_ASSETS_TOTAL_AFTER_NETTING_THRIFT" hidden="1">"c25511"</definedName>
    <definedName name="IQ_DERIVATIVE_ASSETS_TOTAL_BEFORE_NETTING_THRIFT" hidden="1">"c25509"</definedName>
    <definedName name="IQ_DERIVATIVE_LIAB_CURRENT" hidden="1">"c17873"</definedName>
    <definedName name="IQ_DERIVATIVE_LIAB_NON_CURRENT" hidden="1">"c17874"</definedName>
    <definedName name="IQ_DERIVATIVE_LIABILITIES_AMOUNTS_NETTED_THRIFT" hidden="1">"c25552"</definedName>
    <definedName name="IQ_DERIVATIVE_LIABILITIES_LEVEL_1_THRIFT" hidden="1">"c25548"</definedName>
    <definedName name="IQ_DERIVATIVE_LIABILITIES_LEVEL_2_THRIFT" hidden="1">"c25549"</definedName>
    <definedName name="IQ_DERIVATIVE_LIABILITIES_LEVEL_3_THRIFT" hidden="1">"c25550"</definedName>
    <definedName name="IQ_DERIVATIVE_LIABILITIES_TOTAL_AFTER_NETTING_THRIFT" hidden="1">"c25553"</definedName>
    <definedName name="IQ_DERIVATIVE_LIABILITIES_TOTAL_BEFORE_NETTING_THRIFT" hidden="1">"c25551"</definedName>
    <definedName name="IQ_DERIVATIVE_TRADING_ASSETS" hidden="1">"c17875"</definedName>
    <definedName name="IQ_DERIVATIVES_FDIC" hidden="1">"c6523"</definedName>
    <definedName name="IQ_DISALLOWED_SERVICING_OTHER_ASSETS_ADJUSTED_ASSETS_THRIFT" hidden="1">"c25033"</definedName>
    <definedName name="IQ_DISALLOWED_SERVICING_OTHER_ASSETS_T1_THRIFT" hidden="1">"c25024"</definedName>
    <definedName name="IQ_DISBURSED_CONSTRUCTION_MORTGAGE_LOANS_1_4_DWELLING_UNITS_THRIFT" hidden="1">"c25317"</definedName>
    <definedName name="IQ_DISBURSED_CONSTRUCTION_MORTGAGE_LOANS_MULTIFAMILY_5_MORE_DWELLING_UNITS_THRIFT" hidden="1">"c25318"</definedName>
    <definedName name="IQ_DISBURSED_CONSTRUCTION_MORTGAGE_LOANS_NONRES_THRIFT" hidden="1">"c25319"</definedName>
    <definedName name="IQ_DISBURSED_PML_1_4_DWELLING_UNITS_THRIFT" hidden="1">"c25320"</definedName>
    <definedName name="IQ_DISBURSED_PML_HOME_EQUITY_JUNIOR_LIENS_THRIFT" hidden="1">"c25321"</definedName>
    <definedName name="IQ_DISBURSED_PML_LAND_THRIFT" hidden="1">"c25324"</definedName>
    <definedName name="IQ_DISBURSED_PML_MULTIFAMILY_5_MORE_DWELLING_UNITS_THRIFT" hidden="1">"c25322"</definedName>
    <definedName name="IQ_DISBURSED_PML_NONRES_EXCEPT_LAND_THRIFT" hidden="1">"c25323"</definedName>
    <definedName name="IQ_DISTRIBUTABLE_CASH_STANDARDIZED" hidden="1">"c20435"</definedName>
    <definedName name="IQ_DIV_AMOUNT_LIST" hidden="1">"c17417"</definedName>
    <definedName name="IQ_DIV_PAYMENT_DATE_LIST" hidden="1">"c17418"</definedName>
    <definedName name="IQ_DIV_PAYMENT_TYPE_LIST" hidden="1">"c17419"</definedName>
    <definedName name="IQ_DIV_RECORD_DATE_LIST" hidden="1">"c17420"</definedName>
    <definedName name="IQ_DIVIDEND_INCOME_FHLB_STOCK_THRIFT" hidden="1">"c24754"</definedName>
    <definedName name="IQ_DIVIDEND_INCOME_OTHER_EQUITY_INV_THRIFT" hidden="1">"c24755"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_PARENT_EXCL_EXTRA" hidden="1">"c25791"</definedName>
    <definedName name="IQ_EARNINGS_BEFORE_TAXES_AVG_ASSETS_THRIFT" hidden="1">"c25656"</definedName>
    <definedName name="IQ_EARNINGS_CO_THRIFT" hidden="1">"c24796"</definedName>
    <definedName name="IQ_EARNINGS_COVERAGE_NET_CHARGE_OFFS_FDIC" hidden="1">"c6735"</definedName>
    <definedName name="IQ_EARNINGS_COVERAGE_NET_LOSSES_THRIFT" hidden="1">"c25641"</definedName>
    <definedName name="IQ_EBITDA_EST_DOWN_2MONTH" hidden="1">"c16297"</definedName>
    <definedName name="IQ_EBITDA_EST_DOWN_2MONTH_CIQ" hidden="1">"c16621"</definedName>
    <definedName name="IQ_EBITDA_EST_DOWN_3MONTH" hidden="1">"c16301"</definedName>
    <definedName name="IQ_EBITDA_EST_DOWN_3MONTH_CIQ" hidden="1">"c16625"</definedName>
    <definedName name="IQ_EBITDA_EST_DOWN_MONTH" hidden="1">"c16293"</definedName>
    <definedName name="IQ_EBITDA_EST_DOWN_MONTH_CIQ" hidden="1">"c16617"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3MONTH" hidden="1">"c16299"</definedName>
    <definedName name="IQ_EBITDA_EST_NUM_ANALYSTS_3MONTH_CIQ" hidden="1">"c16623"</definedName>
    <definedName name="IQ_EBITDA_EST_NUM_ANALYSTS_MONTH" hidden="1">"c16291"</definedName>
    <definedName name="IQ_EBITDA_EST_NUM_ANALYSTS_MONTH_CIQ" hidden="1">"c16615"</definedName>
    <definedName name="IQ_EBITDA_EST_TOTAL_REVISED_2MONTH" hidden="1">"c16298"</definedName>
    <definedName name="IQ_EBITDA_EST_TOTAL_REVISED_2MONTH_CIQ" hidden="1">"c16622"</definedName>
    <definedName name="IQ_EBITDA_EST_TOTAL_REVISED_3MONTH" hidden="1">"c16302"</definedName>
    <definedName name="IQ_EBITDA_EST_TOTAL_REVISED_3MONTH_CIQ" hidden="1">"c16626"</definedName>
    <definedName name="IQ_EBITDA_EST_TOTAL_REVISED_MONTH" hidden="1">"c16294"</definedName>
    <definedName name="IQ_EBITDA_EST_TOTAL_REVISED_MONTH_CIQ" hidden="1">"c16618"</definedName>
    <definedName name="IQ_EBITDA_EST_UP_2MONTH" hidden="1">"c16296"</definedName>
    <definedName name="IQ_EBITDA_EST_UP_2MONTH_CIQ" hidden="1">"c16620"</definedName>
    <definedName name="IQ_EBITDA_EST_UP_3MONTH" hidden="1">"c16300"</definedName>
    <definedName name="IQ_EBITDA_EST_UP_3MONTH_CIQ" hidden="1">"c16624"</definedName>
    <definedName name="IQ_EBITDA_EST_UP_MONTH" hidden="1">"c16292"</definedName>
    <definedName name="IQ_EBITDA_EST_UP_MONTH_CIQ" hidden="1">"c16616"</definedName>
    <definedName name="IQ_EBT_CM" hidden="1">"c378"</definedName>
    <definedName name="IQ_EBT_EXCL_CM" hidden="1">"c381"</definedName>
    <definedName name="IQ_EBT_THRIFT" hidden="1">"c24794"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DUCATION_LOANS_THRIFT" hidden="1">"c24861"</definedName>
    <definedName name="IQ_EFFICIENCY_RATIO_FDIC" hidden="1">"c6736"</definedName>
    <definedName name="IQ_EMPLOYMENT_YOY" hidden="1">"c20643"</definedName>
    <definedName name="IQ_ENDING_BALANCE_GVA_THRIFT" hidden="1">"c25097"</definedName>
    <definedName name="IQ_ENDING_BALANCE_SVA_THRIFT" hidden="1">"c25104"</definedName>
    <definedName name="IQ_ENDING_BALANCE_TVA_THRIFT" hidden="1">"c25111"</definedName>
    <definedName name="IQ_ENERGY_CRUDE_STOCK" hidden="1">"c20644"</definedName>
    <definedName name="IQ_ENERGY_FUEL_OIL_STOCK" hidden="1">"c20645"</definedName>
    <definedName name="IQ_ENERGY_GASOLINE_AVERAGE" hidden="1">"c20646"</definedName>
    <definedName name="IQ_ENERGY_GASOLINE_STOCK" hidden="1">"c20647"</definedName>
    <definedName name="IQ_ENERGY_PROPANE_STOCK" hidden="1">"c20648"</definedName>
    <definedName name="IQ_ENERGY_WTI_SPOT" hidden="1">"c20649"</definedName>
    <definedName name="IQ_EPS_EST_DOWN_2MONTH" hidden="1">"c16309"</definedName>
    <definedName name="IQ_EPS_EST_DOWN_2MONTH_CIQ" hidden="1">"c16633"</definedName>
    <definedName name="IQ_EPS_EST_DOWN_3MONTH" hidden="1">"c16313"</definedName>
    <definedName name="IQ_EPS_EST_DOWN_3MONTH_CIQ" hidden="1">"c16637"</definedName>
    <definedName name="IQ_EPS_EST_DOWN_MONTH" hidden="1">"c16305"</definedName>
    <definedName name="IQ_EPS_EST_DOWN_MONTH_CIQ" hidden="1">"c16629"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3MONTH" hidden="1">"c16311"</definedName>
    <definedName name="IQ_EPS_EST_NUM_ANALYSTS_3MONTH_CIQ" hidden="1">"c16635"</definedName>
    <definedName name="IQ_EPS_EST_NUM_ANALYSTS_MONTH" hidden="1">"c16303"</definedName>
    <definedName name="IQ_EPS_EST_NUM_ANALYSTS_MONTH_CIQ" hidden="1">"c16627"</definedName>
    <definedName name="IQ_EPS_EST_TOTAL_REVISED_2MONTH" hidden="1">"c16310"</definedName>
    <definedName name="IQ_EPS_EST_TOTAL_REVISED_2MONTH_CIQ" hidden="1">"c16634"</definedName>
    <definedName name="IQ_EPS_EST_TOTAL_REVISED_3MONTH" hidden="1">"c16314"</definedName>
    <definedName name="IQ_EPS_EST_TOTAL_REVISED_3MONTH_CIQ" hidden="1">"c16638"</definedName>
    <definedName name="IQ_EPS_EST_TOTAL_REVISED_MONTH" hidden="1">"c16306"</definedName>
    <definedName name="IQ_EPS_EST_TOTAL_REVISED_MONTH_CIQ" hidden="1">"c16630"</definedName>
    <definedName name="IQ_EPS_EST_UP_2MONTH" hidden="1">"c16308"</definedName>
    <definedName name="IQ_EPS_EST_UP_2MONTH_CIQ" hidden="1">"c16632"</definedName>
    <definedName name="IQ_EPS_EST_UP_3MONTH" hidden="1">"c16312"</definedName>
    <definedName name="IQ_EPS_EST_UP_3MONTH_CIQ" hidden="1">"c16636"</definedName>
    <definedName name="IQ_EPS_EST_UP_MONTH" hidden="1">"c16304"</definedName>
    <definedName name="IQ_EPS_EST_UP_MONTH_CIQ" hidden="1">"c16628"</definedName>
    <definedName name="IQ_EPS_GW_EST_DOWN_2MONTH" hidden="1">"c16465"</definedName>
    <definedName name="IQ_EPS_GW_EST_DOWN_2MONTH_CIQ" hidden="1">"c16753"</definedName>
    <definedName name="IQ_EPS_GW_EST_DOWN_3MONTH" hidden="1">"c16469"</definedName>
    <definedName name="IQ_EPS_GW_EST_DOWN_3MONTH_CIQ" hidden="1">"c16757"</definedName>
    <definedName name="IQ_EPS_GW_EST_DOWN_MONTH" hidden="1">"c16461"</definedName>
    <definedName name="IQ_EPS_GW_EST_DOWN_MONTH_CIQ" hidden="1">"c16749"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3MONTH" hidden="1">"c16467"</definedName>
    <definedName name="IQ_EPS_GW_EST_NUM_ANALYSTS_3MONTH_CIQ" hidden="1">"c16755"</definedName>
    <definedName name="IQ_EPS_GW_EST_NUM_ANALYSTS_MONTH" hidden="1">"c16459"</definedName>
    <definedName name="IQ_EPS_GW_EST_NUM_ANALYSTS_MONTH_CIQ" hidden="1">"c16747"</definedName>
    <definedName name="IQ_EPS_GW_EST_TOTAL_REVISED_2MONTH" hidden="1">"c16466"</definedName>
    <definedName name="IQ_EPS_GW_EST_TOTAL_REVISED_2MONTH_CIQ" hidden="1">"c16754"</definedName>
    <definedName name="IQ_EPS_GW_EST_TOTAL_REVISED_3MONTH" hidden="1">"c16470"</definedName>
    <definedName name="IQ_EPS_GW_EST_TOTAL_REVISED_3MONTH_CIQ" hidden="1">"c16758"</definedName>
    <definedName name="IQ_EPS_GW_EST_TOTAL_REVISED_MONTH" hidden="1">"c16462"</definedName>
    <definedName name="IQ_EPS_GW_EST_TOTAL_REVISED_MONTH_CIQ" hidden="1">"c16750"</definedName>
    <definedName name="IQ_EPS_GW_EST_UP_2MONTH" hidden="1">"c16464"</definedName>
    <definedName name="IQ_EPS_GW_EST_UP_2MONTH_CIQ" hidden="1">"c16752"</definedName>
    <definedName name="IQ_EPS_GW_EST_UP_3MONTH" hidden="1">"c16468"</definedName>
    <definedName name="IQ_EPS_GW_EST_UP_3MONTH_CIQ" hidden="1">"c16756"</definedName>
    <definedName name="IQ_EPS_GW_EST_UP_MONTH" hidden="1">"c16460"</definedName>
    <definedName name="IQ_EPS_GW_EST_UP_MONTH_CIQ" hidden="1">"c16748"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REPORTED_EST_DOWN_2MONTH" hidden="1">"c16477"</definedName>
    <definedName name="IQ_EPS_REPORTED_EST_DOWN_2MONTH_CIQ" hidden="1">"c16765"</definedName>
    <definedName name="IQ_EPS_REPORTED_EST_DOWN_3MONTH" hidden="1">"c16481"</definedName>
    <definedName name="IQ_EPS_REPORTED_EST_DOWN_3MONTH_CIQ" hidden="1">"c16769"</definedName>
    <definedName name="IQ_EPS_REPORTED_EST_DOWN_MONTH" hidden="1">"c16473"</definedName>
    <definedName name="IQ_EPS_REPORTED_EST_DOWN_MONTH_CIQ" hidden="1">"c16761"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3MONTH" hidden="1">"c16479"</definedName>
    <definedName name="IQ_EPS_REPORTED_EST_NUM_ANALYSTS_3MONTH_CIQ" hidden="1">"c16767"</definedName>
    <definedName name="IQ_EPS_REPORTED_EST_NUM_ANALYSTS_MONTH" hidden="1">"c16471"</definedName>
    <definedName name="IQ_EPS_REPORTED_EST_NUM_ANALYSTS_MONTH_CIQ" hidden="1">"c16759"</definedName>
    <definedName name="IQ_EPS_REPORTED_EST_TOTAL_REVISED_2MONTH" hidden="1">"c16478"</definedName>
    <definedName name="IQ_EPS_REPORTED_EST_TOTAL_REVISED_2MONTH_CIQ" hidden="1">"c16766"</definedName>
    <definedName name="IQ_EPS_REPORTED_EST_TOTAL_REVISED_3MONTH" hidden="1">"c16482"</definedName>
    <definedName name="IQ_EPS_REPORTED_EST_TOTAL_REVISED_3MONTH_CIQ" hidden="1">"c16770"</definedName>
    <definedName name="IQ_EPS_REPORTED_EST_TOTAL_REVISED_MONTH" hidden="1">"c16474"</definedName>
    <definedName name="IQ_EPS_REPORTED_EST_TOTAL_REVISED_MONTH_CIQ" hidden="1">"c16762"</definedName>
    <definedName name="IQ_EPS_REPORTED_EST_UP_2MONTH" hidden="1">"c16476"</definedName>
    <definedName name="IQ_EPS_REPORTED_EST_UP_2MONTH_CIQ" hidden="1">"c16764"</definedName>
    <definedName name="IQ_EPS_REPORTED_EST_UP_3MONTH" hidden="1">"c16480"</definedName>
    <definedName name="IQ_EPS_REPORTED_EST_UP_3MONTH_CIQ" hidden="1">"c16768"</definedName>
    <definedName name="IQ_EPS_REPORTED_EST_UP_MONTH" hidden="1">"c16472"</definedName>
    <definedName name="IQ_EPS_REPORTED_EST_UP_MONTH_CIQ" hidden="1">"c16760"</definedName>
    <definedName name="IQ_EQUITY_ASKPRICE" hidden="1">"c17798"</definedName>
    <definedName name="IQ_EQUITY_BIDPRICE" hidden="1">"c17797"</definedName>
    <definedName name="IQ_EQUITY_CAPITAL_ASSETS_FDIC" hidden="1">"c6744"</definedName>
    <definedName name="IQ_EQUITY_FDIC" hidden="1">"c6353"</definedName>
    <definedName name="IQ_EQUITY_INV_NOT_CARRIED_FV_ADJUSTED_NCOS_THRIFT" hidden="1">"c25226"</definedName>
    <definedName name="IQ_EQUITY_INV_NOT_CARRIED_FV_SVA_PROVISIONS_TRANSFERS_FROM_GVA_THRIFT" hidden="1">"c25195"</definedName>
    <definedName name="IQ_EQUITY_INV_NOT_SUBJECT_SFAS_NO115_GVA_CHARGE_OFFS_THRIFT" hidden="1">"c25141"</definedName>
    <definedName name="IQ_EQUITY_INV_NOT_SUBJECT_SFAS_NO115_GVA_RECOVERIES_THRIFT" hidden="1">"c25164"</definedName>
    <definedName name="IQ_EQUITY_MIDPRICE" hidden="1">"c17799"</definedName>
    <definedName name="IQ_EQUITY_SEC_FAIR_VALUE_AFS_AMORT_COST_FFIEC" hidden="1">"c20505"</definedName>
    <definedName name="IQ_EQUITY_SEC_FAIR_VALUE_AFS_FAIR_VAL_FFIEC" hidden="1">"c20470"</definedName>
    <definedName name="IQ_EQUITY_SEC_FV_THRIFT" hidden="1">"c24823"</definedName>
    <definedName name="IQ_EQUITY_SECURITIES_FDIC" hidden="1">"c6304"</definedName>
    <definedName name="IQ_EQUITY_SECURITY_EXPOSURES_FDIC" hidden="1">"c6664"</definedName>
    <definedName name="IQ_ESCROWS_THRIFT" hidden="1">"c24897"</definedName>
    <definedName name="IQ_ESTIMATED_ASSESSABLE_DEPOSITS_FDIC" hidden="1">"c6490"</definedName>
    <definedName name="IQ_ESTIMATED_INSURED_DEPOSITS_FDIC" hidden="1">"c6491"</definedName>
    <definedName name="IQ_EXCEL_DATA_METHOD" hidden="1">"c16229"</definedName>
    <definedName name="IQ_EXCESS_ALLOWANCE_LL_LOSSES_THRIFT" hidden="1">"c25078"</definedName>
    <definedName name="IQ_EXPORT_USD" hidden="1">"c20650"</definedName>
    <definedName name="IQ_EXTRA_ACC_ITEMS_CM" hidden="1">"c412"</definedName>
    <definedName name="IQ_EXTRAORDINARY_GAINS_FDIC" hidden="1">"c6586"</definedName>
    <definedName name="IQ_EXTRAORDINARY_ITEMS_AVG_ASSETS_THRIFT" hidden="1">"c25659"</definedName>
    <definedName name="IQ_EXTRAORDINARY_ITEMS_THRIFT" hidden="1">"c24797"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_INFLOWS" hidden="1">"c20651"</definedName>
    <definedName name="IQ_FDI_NET" hidden="1">"c20652"</definedName>
    <definedName name="IQ_FDI_OUTFLOWS" hidden="1">"c20653"</definedName>
    <definedName name="IQ_FDIC_CERT_NUMBER_FFIEC" hidden="1">"c20507"</definedName>
    <definedName name="IQ_FED_FUND_PURCHASED_SEC_SOLD_REPURCHASE_THRIFT" hidden="1">"c24901"</definedName>
    <definedName name="IQ_FED_FUND_SOLD_SEC_PURCHASED_RESELL_THRIFT" hidden="1">"c24821"</definedName>
    <definedName name="IQ_FED_FUNDS_PURCHASED_FDIC" hidden="1">"c6343"</definedName>
    <definedName name="IQ_FED_FUNDS_PURCHASED_REPOS_TOTAL_ASSETS_THRIFT" hidden="1">"c25702"</definedName>
    <definedName name="IQ_FED_FUNDS_SOLD_FDIC" hidden="1">"c6307"</definedName>
    <definedName name="IQ_FEDERAL_FUNDS_PURCHASED_SEC_SOLD_UNDER_AGREEMENTS_REPURCHASE_AMOUNTS_NETTED_THRIFT" hidden="1">"c25528"</definedName>
    <definedName name="IQ_FEDERAL_FUNDS_PURCHASED_SEC_SOLD_UNDER_AGREEMENTS_REPURCHASE_LEVEL_1_THRIFT" hidden="1">"c25524"</definedName>
    <definedName name="IQ_FEDERAL_FUNDS_PURCHASED_SEC_SOLD_UNDER_AGREEMENTS_REPURCHASE_LEVEL_2_THRIFT" hidden="1">"c25525"</definedName>
    <definedName name="IQ_FEDERAL_FUNDS_PURCHASED_SEC_SOLD_UNDER_AGREEMENTS_REPURCHASE_LEVEL_3_THRIFT" hidden="1">"c25526"</definedName>
    <definedName name="IQ_FEDERAL_FUNDS_PURCHASED_SEC_SOLD_UNDER_AGREEMENTS_REPURCHASE_TOTAL_AFTER_NETTING_THRIFT" hidden="1">"c25529"</definedName>
    <definedName name="IQ_FEDERAL_FUNDS_PURCHASED_SEC_SOLD_UNDER_AGREEMENTS_REPURCHASE_TOTAL_BEFORE_NETTING_THRIFT" hidden="1">"c25527"</definedName>
    <definedName name="IQ_FEDERAL_FUNDS_SOLD_SEC_PURCHASED_UNDER_AGREEMENTS_RESELL_AMOUNTS_NETTED_THRIFT" hidden="1">"c25480"</definedName>
    <definedName name="IQ_FEDERAL_FUNDS_SOLD_SEC_PURCHASED_UNDER_AGREEMENTS_RESELL_LEVEL_1_THRIFT" hidden="1">"c25476"</definedName>
    <definedName name="IQ_FEDERAL_FUNDS_SOLD_SEC_PURCHASED_UNDER_AGREEMENTS_RESELL_LEVEL_2_THRIFT" hidden="1">"c25477"</definedName>
    <definedName name="IQ_FEDERAL_FUNDS_SOLD_SEC_PURCHASED_UNDER_AGREEMENTS_RESELL_LEVEL_3_THRIFT" hidden="1">"c25478"</definedName>
    <definedName name="IQ_FEDERAL_FUNDS_SOLD_SEC_PURCHASED_UNDER_AGREEMENTS_RESELL_TOTAL_AFTER_NETTING_THRIFT" hidden="1">"c25481"</definedName>
    <definedName name="IQ_FEDERAL_FUNDS_SOLD_SEC_PURCHASED_UNDER_AGREEMENTS_RESELL_TOTAL_BEFORE_NETTING_THRIFT" hidden="1">"c25479"</definedName>
    <definedName name="IQ_FEDERAL_INC_TAXES_THRIFT" hidden="1">"c24816"</definedName>
    <definedName name="IQ_FEE_INCOME_COMM_LOANS_THRIFT" hidden="1">"c24751"</definedName>
    <definedName name="IQ_FEE_INCOME_CONSUMER_LOANS_THRIFT" hidden="1">"c24752"</definedName>
    <definedName name="IQ_FEE_INCOME_MORTGAGE_LOANS_THRIFT" hidden="1">"c24750"</definedName>
    <definedName name="IQ_FH" hidden="1">100000</definedName>
    <definedName name="IQ_FHLB_ADVANCES_FDIC" hidden="1">"c6366"</definedName>
    <definedName name="IQ_FHLB_STOCK_NOT_CARRIED_FV_THRIFT" hidden="1">"c24880"</definedName>
    <definedName name="IQ_FIDUCIARY_ACTIVITIES_FDIC" hidden="1">"c6571"</definedName>
    <definedName name="IQ_FIDUCIARY_ACTIVITIES_INCOME_ADJUSTED_OPERATING_INCOME_THRIFT" hidden="1">"c25689"</definedName>
    <definedName name="IQ_FIDUCIARY_MANAGED_ASSETS_THRIFT" hidden="1">"c25438"</definedName>
    <definedName name="IQ_FIDUCIARY_RELATED_SERVICES_EXP_THRIFT" hidden="1">"c24812"</definedName>
    <definedName name="IQ_FIFETEEN_YEAR_FIXED_AND_FLOATING_RATE_FDIC" hidden="1">"c6423"</definedName>
    <definedName name="IQ_FIFETEEN_YEAR_MORTGAGE_PASS_THROUGHS_FDIC" hidden="1">"c6415"</definedName>
    <definedName name="IQ_FII_12M_RETURN" hidden="1">"c25807"</definedName>
    <definedName name="IQ_FII_3M_RETURN" hidden="1">"c25808"</definedName>
    <definedName name="IQ_FII_6M_RETURN" hidden="1">"c25809"</definedName>
    <definedName name="IQ_FII_AVGBIDSPREAD" hidden="1">"c25820"</definedName>
    <definedName name="IQ_FII_CONVEX" hidden="1">"c25799"</definedName>
    <definedName name="IQ_FII_COUPON" hidden="1">"c25800"</definedName>
    <definedName name="IQ_FII_DAILY_RETURN" hidden="1">"c25810"</definedName>
    <definedName name="IQ_FII_DURTW" hidden="1">"c25802"</definedName>
    <definedName name="IQ_FII_EXCESS_RETURN" hidden="1">"c25819"</definedName>
    <definedName name="IQ_FII_INDEXPRICE" hidden="1">"c25806"</definedName>
    <definedName name="IQ_FII_MATURITY" hidden="1">"c25804"</definedName>
    <definedName name="IQ_FII_MODDUR" hidden="1">"c25801"</definedName>
    <definedName name="IQ_FII_MTD_RETURN_COUPON" hidden="1">"c25813"</definedName>
    <definedName name="IQ_FII_MTD_RETURN_CURRENCY" hidden="1">"c25814"</definedName>
    <definedName name="IQ_FII_MTD_RETURN_PAYDOWN" hidden="1">"c25815"</definedName>
    <definedName name="IQ_FII_MTD_RETURN_PRICE" hidden="1">"c25816"</definedName>
    <definedName name="IQ_FII_MTD_RETURN_TOTAL" hidden="1">"c25812"</definedName>
    <definedName name="IQ_FII_MV" hidden="1">"c25803"</definedName>
    <definedName name="IQ_FII_NUMISSUE" hidden="1">"c25805"</definedName>
    <definedName name="IQ_FII_OAS" hidden="1">"c25798"</definedName>
    <definedName name="IQ_FII_RETURN_INCEPTION" hidden="1">"c25811"</definedName>
    <definedName name="IQ_FII_YTD_RETURN" hidden="1">"c25817"</definedName>
    <definedName name="IQ_FII_YTW" hidden="1">"c25818"</definedName>
    <definedName name="IQ_FIN_ARCHITECTURE" hidden="1">"c20386"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MINORITY_INT_REDEEM" hidden="1">"c25788"</definedName>
    <definedName name="IQ_FIN_DIV_MINORITY_INTEREST" hidden="1">"c25790"</definedName>
    <definedName name="IQ_FIN_DIV_NOTES_PAY_TOTAL" hidden="1">"c5522"</definedName>
    <definedName name="IQ_FIN_INST_UNUSED_FFIEC" hidden="1">"c25860"</definedName>
    <definedName name="IQ_FINANCIAL_ASSETS_CARRIED_FV_THROUGH_EARNINGS_THRIFT" hidden="1">"c24931"</definedName>
    <definedName name="IQ_FINANCIAL_ASSETS_HELD_TRADING_PURPOSES_THRIFT" hidden="1">"c24930"</definedName>
    <definedName name="IQ_FINANCIAL_LIABILITIES_CARRIED_FV_THROUGH_EARNINGS_THRIFT" hidden="1">"c24932"</definedName>
    <definedName name="IQ_FISCAL_BALANCE_PCT_GDP" hidden="1">"c20654"</definedName>
    <definedName name="IQ_FISCAL_YEAR_END_THRIFT" hidden="1">"c25020"</definedName>
    <definedName name="IQ_FIVE_YEAR_FIXED_AND_FLOATING_RATE_FDIC" hidden="1">"c6422"</definedName>
    <definedName name="IQ_FIVE_YEAR_MORTGAGE_PASS_THROUGHS_FDIC" hidden="1">"c6414"</definedName>
    <definedName name="IQ_FIXED_RATE_DEBT" hidden="1">"c17894"</definedName>
    <definedName name="IQ_FIXED_RATE_DEBT_PCT" hidden="1">"c18008"</definedName>
    <definedName name="IQ_FLOAT" hidden="1">"c17421"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UNDATIONS_ENDOWMENT_ACCOUNTS_MANAGED_ASSETS_THRIFT" hidden="1">"c25354"</definedName>
    <definedName name="IQ_FOUNDATIONS_ENDOWMENT_ACCOUNTS_NONMANAGED_ASSETS_THRIFT" hidden="1">"c25375"</definedName>
    <definedName name="IQ_FOUNDATIONS_ENDOWMENT_ACCOUNTS_NUMBER_MANAGED_ACCOUNTS_THRIFT" hidden="1">"c25365"</definedName>
    <definedName name="IQ_FOUNDATIONS_ENDOWMENT_ACCOUNTS_NUMBER_NONMANAGED_ACCOUNTS_THRIFT" hidden="1">"c25387"</definedName>
    <definedName name="IQ_FOUNDATIONS_ENDOWMENTS_INC_THRIFT" hidden="1">"c24807"</definedName>
    <definedName name="IQ_FQ" hidden="1">500</definedName>
    <definedName name="IQ_FULLY_INSURED_BROKERED_TIME_DEPOSITS_THRIFT" hidden="1">"c25005"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GEOGRAPHIC_MANDATE" hidden="1">"c19195"</definedName>
    <definedName name="IQ_FUND_MARKET_CAP_EMPHASIS" hidden="1">"c19197"</definedName>
    <definedName name="IQ_FUND_SECTOR_EMPHASIS" hidden="1">"c19196"</definedName>
    <definedName name="IQ_FUND_VEHICLE_TYPE" hidden="1">"c19194"</definedName>
    <definedName name="IQ_FUTURES_CONTRACT_LIST" hidden="1">"c17682"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X_RATE" hidden="1">"c20655"</definedName>
    <definedName name="IQ_FX_RATE_FC" hidden="1">"c20656"</definedName>
    <definedName name="IQ_FX_RESERVES" hidden="1">"c20657"</definedName>
    <definedName name="IQ_FX_RESERVES_PCT_GDP" hidden="1">"c20658"</definedName>
    <definedName name="IQ_FX_RESERVES_PCT_GDP_FC" hidden="1">"c20659"</definedName>
    <definedName name="IQ_FY" hidden="1">1000</definedName>
    <definedName name="IQ_GAAP_COMBINED_RATIO" hidden="1">"c2781"</definedName>
    <definedName name="IQ_GAAP_COMBINED_RATIO_EXCL_CL" hidden="1">"c2782"</definedName>
    <definedName name="IQ_GAAP_EXPENSE_RATIO" hidden="1">"c2780"</definedName>
    <definedName name="IQ_GAAP_LOSS" hidden="1">"c2779"</definedName>
    <definedName name="IQ_GAIN_ASSETS_CF_CM" hidden="1">"c457"</definedName>
    <definedName name="IQ_GAIN_ASSETS_CM" hidden="1">"c454"</definedName>
    <definedName name="IQ_GAIN_ASSETS_REV_CM" hidden="1">"c474"</definedName>
    <definedName name="IQ_GAIN_INVEST_CF_CM" hidden="1">"c482"</definedName>
    <definedName name="IQ_GAIN_INVEST_CM" hidden="1">"c1464"</definedName>
    <definedName name="IQ_GAIN_INVEST_REV_CM" hidden="1">"c496"</definedName>
    <definedName name="IQ_GAIN_SALE_LOANS_FDIC" hidden="1">"c6673"</definedName>
    <definedName name="IQ_GAIN_SALE_RE_FDIC" hidden="1">"c6674"</definedName>
    <definedName name="IQ_GAINS_BARGAIN_PURCHASES_FFIEC" hidden="1">"c25844"</definedName>
    <definedName name="IQ_GAINS_SALE_ASSETS_FDIC" hidden="1">"c6675"</definedName>
    <definedName name="IQ_GAINS_SEC_AVAILABLE_SALE_AVG_ASSETS_THRIFT" hidden="1">"c25655"</definedName>
    <definedName name="IQ_GAINS_SEC_HELD_MATURITY_AVG_ASSETS_THRIFT" hidden="1">"c25654"</definedName>
    <definedName name="IQ_GENERAL_OBLIGATIONS_STATE_LOCAL_GOVERNMENTS_ELIGIBLE_20_PCT_RISK_WEIGHT_THRIFT" hidden="1">"c25059"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INTANGIBLE_ASSETS_THRIFT" hidden="1">"c24887"</definedName>
    <definedName name="IQ_GOODWILL_OTHER_INTANGIBLE_ASSETS_ADJUSTED_ASSETS_THRIFT" hidden="1">"c25032"</definedName>
    <definedName name="IQ_GOODWILL_OTHER_INTANGIBLE_ASSETS_T1_THRIFT" hidden="1">"c25023"</definedName>
    <definedName name="IQ_GOODWILL_OTHER_INTANGIBLE_ASSETS_THRIFT" hidden="1">"c24890"</definedName>
    <definedName name="IQ_GOODWILL_OTHER_INTANGIBLES_EXP_THRIFT" hidden="1">"c24791"</definedName>
    <definedName name="IQ_GOVT_CAPITAL_TRANSFER_PAYMENTS" hidden="1">"c20660"</definedName>
    <definedName name="IQ_GOVT_CAPITAL_TRANSFER_RECEIPTS" hidden="1">"c20661"</definedName>
    <definedName name="IQ_GOVT_CONSUM_FIXED_CAPITAL" hidden="1">"c20663"</definedName>
    <definedName name="IQ_GOVT_CONTRIBUTIONS_SOCIAL_INSURANCE" hidden="1">"c20664"</definedName>
    <definedName name="IQ_GOVT_CURRENT_EXPENDITURES" hidden="1">"c20665"</definedName>
    <definedName name="IQ_GOVT_CURRENT_RECEIPTS" hidden="1">"c20666"</definedName>
    <definedName name="IQ_GOVT_ENTERPRISE_SURPLUS" hidden="1">"c20667"</definedName>
    <definedName name="IQ_GOVT_EXPENDITURES" hidden="1">"c20668"</definedName>
    <definedName name="IQ_GOVT_EXPENDITURES_FEDERAL" hidden="1">"c20669"</definedName>
    <definedName name="IQ_GOVT_GROSS_INVEST" hidden="1">"c20673"</definedName>
    <definedName name="IQ_GOVT_GROSS_INVEST_EQUIP" hidden="1">"c20674"</definedName>
    <definedName name="IQ_GOVT_GROSS_INVEST_FEDERAL" hidden="1">"c20676"</definedName>
    <definedName name="IQ_GOVT_GROSS_INVEST_FEDERAL_DEF_EQUIP" hidden="1">"c20679"</definedName>
    <definedName name="IQ_GOVT_GROSS_INVEST_FEDERAL_DEFENSE_STRUCTURES" hidden="1">"c20677"</definedName>
    <definedName name="IQ_GOVT_GROSS_INVEST_FEDERAL_EQUIP" hidden="1">"c20680"</definedName>
    <definedName name="IQ_GOVT_GROSS_INVEST_FEDERAL_NONDEF_EQUIP" hidden="1">"c20682"</definedName>
    <definedName name="IQ_GOVT_GROSS_INVEST_FEDERAL_NONDEFENSE_STRUCTURES" hidden="1">"c24741"</definedName>
    <definedName name="IQ_GOVT_GROSS_INVEST_FEDERAL_STRUCTURES" hidden="1">"c20683"</definedName>
    <definedName name="IQ_GOVT_GROSS_INVEST_STATE_LOCAL_EQUIP" hidden="1">"c20685"</definedName>
    <definedName name="IQ_GOVT_GROSS_INVEST_STATE_LOCAL_STRUCTURES" hidden="1">"c20686"</definedName>
    <definedName name="IQ_GOVT_GROSS_INVEST_STRUCTURES" hidden="1">"c20687"</definedName>
    <definedName name="IQ_GOVT_INTEREST_PAYMENTS" hidden="1">"c20688"</definedName>
    <definedName name="IQ_GOVT_INTEREST_PAYMENTS_PERSON" hidden="1">"c20689"</definedName>
    <definedName name="IQ_GOVT_INTEREST_PAYMENTS_WORLD" hidden="1">"c20690"</definedName>
    <definedName name="IQ_GOVT_NET_BORROWING" hidden="1">"c20691"</definedName>
    <definedName name="IQ_GOVT_NET_PURCHASE_NONPRODUCED_ASSETS" hidden="1">"c20692"</definedName>
    <definedName name="IQ_GOVT_NET_SAVING" hidden="1">"c20693"</definedName>
    <definedName name="IQ_GOVT_REAL_EXPENDITURES" hidden="1">"c20694"</definedName>
    <definedName name="IQ_GOVT_REAL_EXPENDITURES_FEDERAL" hidden="1">"c20695"</definedName>
    <definedName name="IQ_GOVT_REAL_GROSS_INVEST" hidden="1">"c20699"</definedName>
    <definedName name="IQ_GOVT_REAL_GROSS_INVEST_EQUIP" hidden="1">"c20700"</definedName>
    <definedName name="IQ_GOVT_REAL_GROSS_INVEST_FEDERAL" hidden="1">"c20701"</definedName>
    <definedName name="IQ_GOVT_REAL_GROSS_INVEST_FEDERAL_DEF_EQUIP" hidden="1">"c20704"</definedName>
    <definedName name="IQ_GOVT_REAL_GROSS_INVEST_FEDERAL_DEFENSE_STRUCTURES" hidden="1">"c20702"</definedName>
    <definedName name="IQ_GOVT_REAL_GROSS_INVEST_FEDERAL_EQUIP" hidden="1">"c20705"</definedName>
    <definedName name="IQ_GOVT_REAL_GROSS_INVEST_FEDERAL_NONDEF_EQUIP" hidden="1">"c20707"</definedName>
    <definedName name="IQ_GOVT_REAL_GROSS_INVEST_FEDERAL_NONDEFENSE_STRUCTURES" hidden="1">"c24742"</definedName>
    <definedName name="IQ_GOVT_REAL_GROSS_INVEST_FEDERAL_STRUCTURES" hidden="1">"c20708"</definedName>
    <definedName name="IQ_GOVT_REAL_GROSS_INVEST_STATE_LOCAL_EQUIP" hidden="1">"c20710"</definedName>
    <definedName name="IQ_GOVT_REAL_GROSS_INVEST_STATE_LOCAL_STRUCTURES" hidden="1">"c20711"</definedName>
    <definedName name="IQ_GOVT_REAL_GROSS_INVEST_STRUCTURES" hidden="1">"c20712"</definedName>
    <definedName name="IQ_GOVT_REAL_RECEIPTS_CONSUM_INVEST_RESIDUAL" hidden="1">"c20717"</definedName>
    <definedName name="IQ_GOVT_RECEIPTS_ASSETS" hidden="1">"c20719"</definedName>
    <definedName name="IQ_GOVT_RECEIPTS_ASSETS_DIVIDENDS" hidden="1">"c20720"</definedName>
    <definedName name="IQ_GOVT_RECEIPTS_ASSETS_INTEREST" hidden="1">"c20721"</definedName>
    <definedName name="IQ_GOVT_RECEIPTS_ASSETS_RENT" hidden="1">"c20722"</definedName>
    <definedName name="IQ_GOVT_RECEIPTS_EXPENSITURES_OTHER" hidden="1">"c20728"</definedName>
    <definedName name="IQ_GOVT_RECEIPTS_TRANSFER" hidden="1">"c20729"</definedName>
    <definedName name="IQ_GOVT_RECEIPTS_TRANSFER_BUSINESS" hidden="1">"c20730"</definedName>
    <definedName name="IQ_GOVT_RECEIPTS_TRANSFER_PERSONAL" hidden="1">"c20731"</definedName>
    <definedName name="IQ_GOVT_SOCIAL_BENEFITS" hidden="1">"c20732"</definedName>
    <definedName name="IQ_GOVT_SOCIAL_BENEFITS_PERSONS" hidden="1">"c20733"</definedName>
    <definedName name="IQ_GOVT_SOCIAL_BENEFITS_WORLD" hidden="1">"c20734"</definedName>
    <definedName name="IQ_GOVT_SOCIAL_INSURANCE_FUNDS" hidden="1">"c20735"</definedName>
    <definedName name="IQ_GOVT_SUBSIDIES" hidden="1">"c20736"</definedName>
    <definedName name="IQ_GOVT_TAX_RECEIPTS" hidden="1">"c20737"</definedName>
    <definedName name="IQ_GOVT_TAX_RECEIPTS_CORPORATE" hidden="1">"c20738"</definedName>
    <definedName name="IQ_GOVT_TAX_RECEIPTS_CORPORATE_FED_RESERVE" hidden="1">"c20739"</definedName>
    <definedName name="IQ_GOVT_TAX_RECEIPTS_CORPORATE_OTHER" hidden="1">"c20740"</definedName>
    <definedName name="IQ_GOVT_TAX_RECEIPTS_CUSTOMS" hidden="1">"c20741"</definedName>
    <definedName name="IQ_GOVT_TAX_RECEIPTS_EXCISE" hidden="1">"c20742"</definedName>
    <definedName name="IQ_GOVT_TAX_RECEIPTS_PERSONAL" hidden="1">"c20743"</definedName>
    <definedName name="IQ_GOVT_TAX_RECEIPTS_PRODUCTION_IMPORTS" hidden="1">"c20744"</definedName>
    <definedName name="IQ_GOVT_TAX_RECEIPTS_WORLD" hidden="1">"c20745"</definedName>
    <definedName name="IQ_GOVT_TOTAL_EXPENDITURES" hidden="1">"c20746"</definedName>
    <definedName name="IQ_GOVT_TOTAL_RECEIPTS" hidden="1">"c20747"</definedName>
    <definedName name="IQ_GOVT_TRANSFER_PAYMENTS" hidden="1">"c20748"</definedName>
    <definedName name="IQ_GOVT_TRANSFER_PAYMENTS_OTHER" hidden="1">"c20749"</definedName>
    <definedName name="IQ_GOVT_TRANSFER_PAYMENTS_OTHER_STATE_LOCAL" hidden="1">"c20750"</definedName>
    <definedName name="IQ_GOVT_TRANSFER_PAYMENTS_OTHER_WORLD" hidden="1">"c20751"</definedName>
    <definedName name="IQ_GOVT_WAGE_ACCRUAL" hidden="1">"c20752"</definedName>
    <definedName name="IQ_GROSS_GW" hidden="1">"c17750"</definedName>
    <definedName name="IQ_GROSS_INTAN_ASSETS" hidden="1">"c17748"</definedName>
    <definedName name="IQ_GROSS_LOAN_AVG_LOANS_THRIFT" hidden="1">"c25636"</definedName>
    <definedName name="IQ_GUARANTEED_PORTION_OTHER_LOANS_LEASES_EXCLUDE_REBOOKED_GNMA_LOANS_DUE_90_THRIFT" hidden="1">"c25280"</definedName>
    <definedName name="IQ_GUARANTEED_PORTION_OTHER_LOANS_LEASES_EXCLUDE_REBOOKED_GNMA_LOANS_NON_ACCRUAL_THRIFT" hidden="1">"c25301"</definedName>
    <definedName name="IQ_GUARTANTEED_PORTION_OTHER_LOANS_LEASES_EXCLUDE_REBOOKED_GNMA_LOANS_DUE_30_89_THRIFT" hidden="1">"c25259"</definedName>
    <definedName name="IQ_GW_AMORT_CM" hidden="1">"c532"</definedName>
    <definedName name="IQ_GW_INTAN_AMORT_CF_CM" hidden="1">"c1473"</definedName>
    <definedName name="IQ_GW_INTAN_AMORT_CM" hidden="1">"c1470"</definedName>
    <definedName name="IQ_HEDGING_ACTIVITIES" hidden="1">"c17899"</definedName>
    <definedName name="IQ_HEDGING_ACTIVITIES_PCT" hidden="1">"c18013"</definedName>
    <definedName name="IQ_HELD_MATURITY_FDIC" hidden="1">"c6408"</definedName>
    <definedName name="IQ_HOLDER_INSTITUTION_TYPE" hidden="1">"c24729"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QUITY_ASSETS" hidden="1">"c26966"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EQUITY_LOANS_TOTAL_LOANS_THRIFT" hidden="1">"c25748"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IMPROVEMENT_LOANS_NOT_SECURED_RE_THRIFT" hidden="1">"c24860"</definedName>
    <definedName name="IQ_HOUSING_30YR_MORTGAGE" hidden="1">"c20753"</definedName>
    <definedName name="IQ_HOUSING_COMPLETION" hidden="1">"c20754"</definedName>
    <definedName name="IQ_HOUSING_CONSTRUCTION_PERMITS" hidden="1">"c20755"</definedName>
    <definedName name="IQ_HOUSING_CONSTRUCTION_PRIVATE" hidden="1">"c20756"</definedName>
    <definedName name="IQ_HOUSING_EXISTING_HOME_SALES" hidden="1">"c20757"</definedName>
    <definedName name="IQ_HOUSING_HOMEOWNER_VACANCY" hidden="1">"c20758"</definedName>
    <definedName name="IQ_HOUSING_HOMEOWNERSHIP_RATE" hidden="1">"c20759"</definedName>
    <definedName name="IQ_HOUSING_MEDIAN_SALES_PRICE" hidden="1">"c20760"</definedName>
    <definedName name="IQ_HOUSING_NEW_HOME_SALES" hidden="1">"c20761"</definedName>
    <definedName name="IQ_HOUSING_PENDING_HOME_SALE_INDEX" hidden="1">"c20762"</definedName>
    <definedName name="IQ_HOUSING_RENTAL_VACANCY" hidden="1">"c20763"</definedName>
    <definedName name="IQ_HOUSING_START" hidden="1">"c20764"</definedName>
    <definedName name="IQ_HTM_SEC_INV_SEC_THRIFT" hidden="1">"c25669"</definedName>
    <definedName name="IQ_HTM_SEC_TIER_1_CAPITAL_THRIFT" hidden="1">"c25629"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HTM_AMORT_COST_FFIEC" hidden="1">"c20450"</definedName>
    <definedName name="IQ_HYBRID_STRUCTURED_PRODUCTS_HTM_FAIR_VAL_FFIEC" hidden="1">"c20485"</definedName>
    <definedName name="IQ_IMPAIR_CHARGES_DEBT_EQUITY_SEC_THRIFT" hidden="1">"c24777"</definedName>
    <definedName name="IQ_IMPORTS_USD" hidden="1">"c20765"</definedName>
    <definedName name="IQ_INC_EQUITY_CM" hidden="1">"c550"</definedName>
    <definedName name="IQ_INCIDENTAL_CHANGES_BUSINESS_COMBINATIONS_FDIC" hidden="1">"c6502"</definedName>
    <definedName name="IQ_INCOME_BEFORE_EXTRA_FDIC" hidden="1">"c6585"</definedName>
    <definedName name="IQ_INCOME_BEFORE_EXTRAORDINARY_ITEMS_AVG_ASSETS_THRIFT" hidden="1">"c25658"</definedName>
    <definedName name="IQ_INCOME_EARNED_FDIC" hidden="1">"c6359"</definedName>
    <definedName name="IQ_INCOME_STATEMENT_AP" hidden="1">"c25877"</definedName>
    <definedName name="IQ_INCOME_STATEMENT_AP_CO" hidden="1">"c25878"</definedName>
    <definedName name="IQ_INCOME_STATEMENT_INDUSTRY" hidden="1">"c25873"</definedName>
    <definedName name="IQ_INCOME_STATEMENT_INDUSTRY_CO" hidden="1">"c25874"</definedName>
    <definedName name="IQ_INCOME_STATEMENT_STANDARD" hidden="1">"c25875"</definedName>
    <definedName name="IQ_INCOME_STATEMENT_STANDARD_CO" hidden="1">"c25876"</definedName>
    <definedName name="IQ_INCOME_TAXES_FDIC" hidden="1">"c6582"</definedName>
    <definedName name="IQ_INCOME_TAXES_PRETAX_NET_OPERATING_INCOME_THRIFT" hidden="1">"c25693"</definedName>
    <definedName name="IQ_INCOME_TAXES_THRIFT" hidden="1">"c24795"</definedName>
    <definedName name="IQ_IND_PROD_INDEX_GROWTH" hidden="1">"c20766"</definedName>
    <definedName name="IQ_INDEX_PROVIDED_DIVIDEND" hidden="1">"c19252"</definedName>
    <definedName name="IQ_INDEX_SHARES" hidden="1">"c19193"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AUTO_SALES_DOMESTIC" hidden="1">"c20767"</definedName>
    <definedName name="IQ_INDUSTRIAL_AUTO_SALES_FOREIGN" hidden="1">"c20768"</definedName>
    <definedName name="IQ_INDUSTRIAL_AUTO_SALES_TOTAL" hidden="1">"c20769"</definedName>
    <definedName name="IQ_INDUSTRIAL_CAPACITY_UTILIZATION" hidden="1">"c20770"</definedName>
    <definedName name="IQ_INDUSTRIAL_IPI" hidden="1">"c20771"</definedName>
    <definedName name="IQ_INDUSTRIAL_MV_ASSEMBLIES_AUTO" hidden="1">"c20772"</definedName>
    <definedName name="IQ_INDUSTRIAL_MV_ASSEMBLIES_TOTAL" hidden="1">"c20773"</definedName>
    <definedName name="IQ_INDUSTRIAL_MV_ASSEMBLIES_TRUCKS" hidden="1">"c20774"</definedName>
    <definedName name="IQ_INDUSTRIAL_MV_ASSEMBLIES_TRUCKS_HEAVY" hidden="1">"c20775"</definedName>
    <definedName name="IQ_INDUSTRIAL_MV_ASSEMBLIES_TRUCKS_LIGHT" hidden="1">"c20776"</definedName>
    <definedName name="IQ_INFLATION_CPI_APPAREL" hidden="1">"c20777"</definedName>
    <definedName name="IQ_INFLATION_CPI_EDUCATION" hidden="1">"c20778"</definedName>
    <definedName name="IQ_INFLATION_CPI_FOOD" hidden="1">"c20779"</definedName>
    <definedName name="IQ_INFLATION_CPI_HOUSING" hidden="1">"c20780"</definedName>
    <definedName name="IQ_INFLATION_CPI_MEDICAL" hidden="1">"c20781"</definedName>
    <definedName name="IQ_INFLATION_CPI_OTHER" hidden="1">"c20782"</definedName>
    <definedName name="IQ_INFLATION_CPI_RECREATION" hidden="1">"c20783"</definedName>
    <definedName name="IQ_INFLATION_CPI_TRANSPORTATION" hidden="1">"c20784"</definedName>
    <definedName name="IQ_INFLATION_CPI_TRANSPORTATION_PUBLIC" hidden="1">"c20785"</definedName>
    <definedName name="IQ_INFLATION_CPI_URBAN_ALL" hidden="1">"c20786"</definedName>
    <definedName name="IQ_INFLATION_PPI_FINISHED_GOODS" hidden="1">"c20787"</definedName>
    <definedName name="IQ_INFLATION_PPI_FINISHED_GOODS_EX_FOOD_ENERGY" hidden="1">"c20788"</definedName>
    <definedName name="IQ_INS_SETTLE_CM" hidden="1">"c572"</definedName>
    <definedName name="IQ_INSIDER_LOANS_FDIC" hidden="1">"c6365"</definedName>
    <definedName name="IQ_INSTITUTION_TYPE" hidden="1">"c24730"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SURED_GUARANTEED_AGENCY_US_SPONSORED_ENTERPRISE_THRIFT" hidden="1">"c24830"</definedName>
    <definedName name="IQ_INT_ADVANCES_FHLB_THRIFT" hidden="1">"c24759"</definedName>
    <definedName name="IQ_INT_COMM_LOANS_LEASES_THRIFT" hidden="1">"c24748"</definedName>
    <definedName name="IQ_INT_CONSUMER_LOANS_LEASES_THRIFT" hidden="1">"c24749"</definedName>
    <definedName name="IQ_INT_DEMAND_NOTES_FDIC" hidden="1">"c6567"</definedName>
    <definedName name="IQ_INT_DEPOSITS_INV_SEC_THRIFT" hidden="1">"c24745"</definedName>
    <definedName name="IQ_INT_DEPOSITS_THRIFT" hidden="1">"c24757"</definedName>
    <definedName name="IQ_INT_DOMESTIC_DEPOSITS_FDIC" hidden="1">"c6564"</definedName>
    <definedName name="IQ_INT_EARNING_DEPOSITS_FHLBS_THRIFT" hidden="1">"c24819"</definedName>
    <definedName name="IQ_INT_ESCROWS_THRIFT" hidden="1">"c24758"</definedName>
    <definedName name="IQ_INT_EXP_AVG_ASSETS_THRIFT" hidden="1">"c25648"</definedName>
    <definedName name="IQ_INT_EXP_AVG_EARNING_ASSETS_THRIFT" hidden="1">"c25667"</definedName>
    <definedName name="IQ_INT_EXP_CM" hidden="1">"c586"</definedName>
    <definedName name="IQ_INT_EXP_FULLY_INSURED_BROKERED_DEPOSITS_THRIFT" hidden="1">"c24982"</definedName>
    <definedName name="IQ_INT_EXP_OTHER_BROKERED_DEPOSITS_THRIFT" hidden="1">"c24983"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CM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INCOME_AVG_ASSETS_THRIFT" hidden="1">"c25647"</definedName>
    <definedName name="IQ_INT_INCOME_AVG_EARNING_ASSETS_THRIFT" hidden="1">"c25666"</definedName>
    <definedName name="IQ_INT_MBS_THRIFT" hidden="1">"c24746"</definedName>
    <definedName name="IQ_INT_MORTGAGE_COLLATERALIZED_SEC_THRIFT" hidden="1">"c24761"</definedName>
    <definedName name="IQ_INT_MORTGAGE_LOANS_THRIFT" hidden="1">"c24747"</definedName>
    <definedName name="IQ_INT_ONLY_STRIP_RECEIVABLES_OTHER_INSTRUMENTS_THRIFT" hidden="1">"c24891"</definedName>
    <definedName name="IQ_INT_OTHER_BORROWINGS_THRIFT" hidden="1">"c24762"</definedName>
    <definedName name="IQ_INT_SUB_DEBT_THRIFT" hidden="1">"c24760"</definedName>
    <definedName name="IQ_INT_SUB_NOTES_FDIC" hidden="1">"c6568"</definedName>
    <definedName name="IQ_INT_YIELD_DEPOSITS_INV_SEC_THRIFT" hidden="1">"c25679"</definedName>
    <definedName name="IQ_INT_YIELD_MBS_THRIFT" hidden="1">"c25678"</definedName>
    <definedName name="IQ_INTANGIBLE_ASSETS_ADJUSTED_ASSETS_THRIFT" hidden="1">"c25036"</definedName>
    <definedName name="IQ_INTANGIBLE_ASSETS_T1_THRIFT" hidden="1">"c25027"</definedName>
    <definedName name="IQ_INTEREST_BEARING_BALANCES_FDIC" hidden="1">"c6371"</definedName>
    <definedName name="IQ_INTEREST_BEARING_DEPOSITS_ALL_OTHER_ACCOUNTS_THRIFT" hidden="1">"c25424"</definedName>
    <definedName name="IQ_INTEREST_BEARING_DEPOSITS_DOMESTIC_FDIC" hidden="1">"c6478"</definedName>
    <definedName name="IQ_INTEREST_BEARING_DEPOSITS_EMPLOYEE_BENEFIT_RETIREMENT_RELATED_ACCOUNTS_THRIFT" hidden="1">"c25408"</definedName>
    <definedName name="IQ_INTEREST_BEARING_DEPOSITS_FDIC" hidden="1">"c6373"</definedName>
    <definedName name="IQ_INTEREST_BEARING_DEPOSITS_FOREIGN_FDIC" hidden="1">"c6485"</definedName>
    <definedName name="IQ_INTEREST_BEARING_DEPOSITS_PERSONAL_TRUST_AGENCY_INV_MANAGEMENT_AGENCY_ACCOUNTS_THRIFT_THRIFT" hidden="1">"c25392"</definedName>
    <definedName name="IQ_INTEREST_CREDITED_DEPOSITS_THRIFT" hidden="1">"c25344"</definedName>
    <definedName name="IQ_INTEREST_RATE_CONTRACTS_FDIC" hidden="1">"c6512"</definedName>
    <definedName name="IQ_INTEREST_RATE_EXPOSURES_FDIC" hidden="1">"c6662"</definedName>
    <definedName name="IQ_INTRACO_INC_CREDITS_FIDUCIARY_RELATED_SERVICES_THRIFT" hidden="1">"c24814"</definedName>
    <definedName name="IQ_INV_IN_UNREGISTERED_FUNDS_PRIVATE_EQUITY_INV_ALL_OTHER_ACCOUNTS_THRIFT" hidden="1">"c25433"</definedName>
    <definedName name="IQ_INV_IN_UNREGISTERED_FUNDS_PRIVATE_EQUITY_INV_EMPLOYEE_BENEFIT_RETIREMENT_RELATED_ACCOUNTS_THRIFT" hidden="1">"c25417"</definedName>
    <definedName name="IQ_INV_IN_UNREGISTERED_FUNDS_PRIVATE_EQUITY_INV_PERSONAL_TRUST_AGENCY_INV_MANAGEMENT_ACCOUNTS_THRIFT" hidden="1">"c25401"</definedName>
    <definedName name="IQ_INV_MANAGEMENT_INV_ADVISORY_AGENCY_ACCOUNTS_GROSS_LOSSES_MANAGED_ACCOUNTS_THRIFT" hidden="1">"c25463"</definedName>
    <definedName name="IQ_INV_MANAGEMENT_INV_ADVISORY_AGENCY_ACCOUNTS_GROSS_LOSSES_NONMANAGED_ACCOUNTS_THRIFT" hidden="1">"c25468"</definedName>
    <definedName name="IQ_INV_MANAGEMENT_INV_ADVISORY_AGENCY_ACCOUNTS_MANAGED_ASSETS_THRIFT" hidden="1">"c25353"</definedName>
    <definedName name="IQ_INV_MANAGEMENT_INV_ADVISORY_AGENCY_ACCOUNTS_NONMANAGED_ASSETS_THRIFT" hidden="1">"c25374"</definedName>
    <definedName name="IQ_INV_MANAGEMENT_INV_ADVISORY_AGENCY_ACCOUNTS_NUMBER_MANAGED_ACCOUNTS_THRIFT" hidden="1">"c25364"</definedName>
    <definedName name="IQ_INV_MANAGEMENT_INV_ADVISORY_AGENCY_ACCOUNTS_NUMBER_NONMANAGED_ACCOUNTS_THRIFT" hidden="1">"c25386"</definedName>
    <definedName name="IQ_INV_MANAGEMENT_INV_ADVISORY_AGENCY_ACCOUNTS_RECOVERIES_THRIFT" hidden="1">"c25473"</definedName>
    <definedName name="IQ_INV_MGMT_ADVISORY_AGENCY_ACCOUNTS_INC_THRIFT" hidden="1">"c24806"</definedName>
    <definedName name="IQ_INV_NONCONTROLLING_INTERESTS_IN_SUBS_T1_THRIFT" hidden="1">"c25022"</definedName>
    <definedName name="IQ_INV_SEC_TOTAL_ASSETS_THRIFT" hidden="1">"c25697"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LOANS_CF_CM" hidden="1">"c630"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SECURITY_CF_CM" hidden="1">"c639"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OTHER_FEES_FDIC" hidden="1">"c6666"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RA_KEOGH_ACCOUNTS_FDIC" hidden="1">"c6496"</definedName>
    <definedName name="IQ_IRA_KEOGH_ACCOUNTS_GREATER_THAN_100000_INCLUDED_IN_TIME_DEPOSITS_THRIFT" hidden="1">"c25004"</definedName>
    <definedName name="IQ_IRA_KEOGH_ACCOUNTS_THRIFT" hidden="1">"c24994"</definedName>
    <definedName name="IQ_IRAS_HSAS_SIMILAR_ACCOUNTS_MANAGED_ASSETS_THRIFT" hidden="1">"c25351"</definedName>
    <definedName name="IQ_IRAS_HSAS_SIMILAR_ACCOUNTS_NONMANAGED_ASSETS_THRIFT" hidden="1">"c25372"</definedName>
    <definedName name="IQ_IRAS_HSAS_SIMILAR_ACCOUNTS_NUMBER_MANAGED_ACCOUNTS_THRIFT" hidden="1">"c25362"</definedName>
    <definedName name="IQ_IRAS_HSAS_SIMILAR_ACCOUNTS_NUMBER_NONMANAGED_ACCOUNTS_THRIFT" hidden="1">"c25384"</definedName>
    <definedName name="IQ_ISSUED_GUARANTEED_FNMA_FHLMC_GNMA_THRIFT" hidden="1">"c24833"</definedName>
    <definedName name="IQ_ISSUED_GUARANTEED_US_FDIC" hidden="1">"c6404"</definedName>
    <definedName name="IQ_ISSUES_IN_DEFAULT_PRINCIPAL_AMT_OUTSTANDING_THRIFT" hidden="1">"c25442"</definedName>
    <definedName name="IQ_KEY_PERSON_LIFE_INSURANCE_THRIFT" hidden="1">"c24885"</definedName>
    <definedName name="IQ_LABOR_BENEFITS_CIVILIANS" hidden="1">"c20789"</definedName>
    <definedName name="IQ_LABOR_BENEFITS_GOVT" hidden="1">"c20790"</definedName>
    <definedName name="IQ_LABOR_BENEFITS_PRIVATE_INDUSTRY" hidden="1">"c20791"</definedName>
    <definedName name="IQ_LABOR_COMP_CIVILIANS" hidden="1">"c20792"</definedName>
    <definedName name="IQ_LABOR_COMP_GOVT" hidden="1">"c20793"</definedName>
    <definedName name="IQ_LABOR_COMP_PRIVATE_INDUSTRY" hidden="1">"c20794"</definedName>
    <definedName name="IQ_LABOR_NONFARM_PAYROLL" hidden="1">"c20795"</definedName>
    <definedName name="IQ_LABOR_UNEMPLOYMENT_CLAIMS" hidden="1">"c20796"</definedName>
    <definedName name="IQ_LABOR_UNEMPLOYMENT_CLAIMS_4WEEK" hidden="1">"c20797"</definedName>
    <definedName name="IQ_LABOR_UNEMPLOYMENT_RATE" hidden="1">"c20798"</definedName>
    <definedName name="IQ_LABOR_UNEMPLOYMENT_RATE_PCT_INSURED" hidden="1">"c20799"</definedName>
    <definedName name="IQ_LABOR_WAGES_CIVILIANS" hidden="1">"c20800"</definedName>
    <definedName name="IQ_LABOR_WAGES_GOVT" hidden="1">"c20801"</definedName>
    <definedName name="IQ_LABOR_WAGES_PRIVATE_INDUSTRY" hidden="1">"c20802"</definedName>
    <definedName name="IQ_LAND_LOANS_IN_PROCESS_FORECLOSURE_THRIFT" hidden="1">"c25309"</definedName>
    <definedName name="IQ_LAND_LOANS_TOTAL_LOANS_THRIFT" hidden="1">"c25747"</definedName>
    <definedName name="IQ_LAND_PML_ADJUSTED_NCOS_TOTAL_THRIFT" hidden="1">"c25208"</definedName>
    <definedName name="IQ_LAND_PML_GVA_CHARGE_OFFS_THRIFT" hidden="1">"c25123"</definedName>
    <definedName name="IQ_LAND_PML_GVA_RECOVERIES_THRIFT" hidden="1">"c25154"</definedName>
    <definedName name="IQ_LAND_PML_SVA_PROVISIONS_TRANSFERS_FROM_GVA_TOTAL_THRIFT" hidden="1">"c25177"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ASE_RECEIVABLES_THRIFT" hidden="1">"c24857"</definedName>
    <definedName name="IQ_LEASEHOLD_IMPROVEMENT" hidden="1">"c17549"</definedName>
    <definedName name="IQ_LEGAL_EXP_THRIFT" hidden="1">"c24789"</definedName>
    <definedName name="IQ_LEGAL_SETTLE_CM" hidden="1">"c649"</definedName>
    <definedName name="IQ_LETTERS_CREDIT_THRIFT" hidden="1">"c25612"</definedName>
    <definedName name="IQ_LIFE_INSURANCE_ASSETS_FDIC" hidden="1">"c6372"</definedName>
    <definedName name="IQ_LIQUID_ASSETS_NON_LIQUID_ASSETS_THRIFT" hidden="1">"c25626"</definedName>
    <definedName name="IQ_LIQUID_ASSETS_TOTAL_ASSETS_THRIFT" hidden="1">"c25696"</definedName>
    <definedName name="IQ_LL_ALLOWANCE_GROSS_LOANS_THRIFT" hidden="1">"c25637"</definedName>
    <definedName name="IQ_LL_ALLOWANCE_NET_LOANS_LOSSES_THRIFT" hidden="1">"c25642"</definedName>
    <definedName name="IQ_LL_ALLOWANCE_NONACCRUAL_ASSETS_THRIFT" hidden="1">"c25638"</definedName>
    <definedName name="IQ_LME_INVENTORY" hidden="1">"c24740"</definedName>
    <definedName name="IQ_LOAN_COMMITMENTS_REVOLVING_FDIC" hidden="1">"c6524"</definedName>
    <definedName name="IQ_LOAN_LEASE_ALLOWANCE_PAST_DUE_NONACCRUAL_LOANS_THRIFT" hidden="1">"c25643"</definedName>
    <definedName name="IQ_LOAN_LOSS_ALLOW_FDIC" hidden="1">"c6326"</definedName>
    <definedName name="IQ_LOAN_LOSS_ALLOWANCE_GROSS_LOANS_THRIFT" hidden="1">"c25736"</definedName>
    <definedName name="IQ_LOAN_LOSS_ALLOWANCE_NONCURRENT_LOANS_FDIC" hidden="1">"c6740"</definedName>
    <definedName name="IQ_LOAN_LOSSES_FDIC" hidden="1">"c6580"</definedName>
    <definedName name="IQ_LOAN_RECOVERIES_AVG_LOANS_THRIFT" hidden="1">"c25644"</definedName>
    <definedName name="IQ_LOAN_SERVICING_FEES_THRIFT" hidden="1">"c24790"</definedName>
    <definedName name="IQ_LOANS_AND_LEASES_HELD_FDIC" hidden="1">"c6367"</definedName>
    <definedName name="IQ_LOANS_CF_CM" hidden="1">"c661"</definedName>
    <definedName name="IQ_LOANS_DEP_LL_REC_DOM_FFIEC" hidden="1">"c25855"</definedName>
    <definedName name="IQ_LOANS_DEP_LL_REC_FFIEC" hidden="1">"c25851"</definedName>
    <definedName name="IQ_LOANS_DEP_OTHER_LL_REC_DOM_FFIEC" hidden="1">"c25854"</definedName>
    <definedName name="IQ_LOANS_DEP_OTHER_LL_REC_FFIEC" hidden="1">"c25850"</definedName>
    <definedName name="IQ_LOANS_DEPOSITORY_INSTITUTIONS_FDIC" hidden="1">"c6382"</definedName>
    <definedName name="IQ_LOANS_HELD_FOREIGN_FDIC" hidden="1">"c6315"</definedName>
    <definedName name="IQ_LOANS_INDIVIDUALS_GROSS_LOANS_THRIFT" hidden="1">"c25733"</definedName>
    <definedName name="IQ_LOANS_INDIVIDUALS_RISK_BASED_CAPITAL_THRIFT" hidden="1">"c25718"</definedName>
    <definedName name="IQ_LOANS_LEASES_AMOUNTS_NETTED_THRIFT" hidden="1">"c25498"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FS_DUE_30_89_THRIFT" hidden="1">"c25257"</definedName>
    <definedName name="IQ_LOANS_LEASES_HFS_DUE_90_THRIFT" hidden="1">"c25278"</definedName>
    <definedName name="IQ_LOANS_LEASES_HFS_NON_ACCRUAL_THRIFT" hidden="1">"c25299"</definedName>
    <definedName name="IQ_LOANS_LEASES_LEVEL_1_THRIFT" hidden="1">"c25494"</definedName>
    <definedName name="IQ_LOANS_LEASES_LEVEL_2_THRIFT" hidden="1">"c25495"</definedName>
    <definedName name="IQ_LOANS_LEASES_LEVEL_3_THRIFT" hidden="1">"c25496"</definedName>
    <definedName name="IQ_LOANS_LEASES_NET_FDIC" hidden="1">"c6327"</definedName>
    <definedName name="IQ_LOANS_LEASES_NET_UNEARNED_FDIC" hidden="1">"c6325"</definedName>
    <definedName name="IQ_LOANS_LEASES_REPORTED_WHOLLY_PARTIALLY_GUARANT_US_GOVT_AGENCY_SPONS_ENTITY_DUE_30_89_THRIFT" hidden="1">"c25258"</definedName>
    <definedName name="IQ_LOANS_LEASES_REPORTED_WHOLLY_PARTIALLY_GUARANT_US_GOVT_AGENCY_SPONS_ENTITY_DUE_90_THRIFT" hidden="1">"c25279"</definedName>
    <definedName name="IQ_LOANS_LEASES_REPORTED_WHOLLY_PARTIALLY_GUARANT_US_GOVT_AGENCY_SPONS_ENTITY_NON_ACCRUAL_THRIFT" hidden="1">"c25300"</definedName>
    <definedName name="IQ_LOANS_LEASES_TOTAL_AFTER_NETTING_THRIFT" hidden="1">"c25499"</definedName>
    <definedName name="IQ_LOANS_LEASES_TOTAL_BEFORE_NETTING_THRIFT" hidden="1">"c25497"</definedName>
    <definedName name="IQ_LOANS_NOT_SECURED_RE_FDIC" hidden="1">"c6381"</definedName>
    <definedName name="IQ_LOANS_PURCHASE_CARRY_LL_REC_DOM_FFIEC" hidden="1">"c25856"</definedName>
    <definedName name="IQ_LOANS_PURCHASE_CARRY_LL_REC_FFIEC" hidden="1">"c25852"</definedName>
    <definedName name="IQ_LOANS_SECURED_BY_RE_CHARGE_OFFS_FDIC" hidden="1">"c6588"</definedName>
    <definedName name="IQ_LOANS_SECURED_BY_RE_RECOVERIES_FDIC" hidden="1">"c6607"</definedName>
    <definedName name="IQ_LOANS_SECURED_FARM_100000_THROUGH_250000_THRIFT" hidden="1">"c24968"</definedName>
    <definedName name="IQ_LOANS_SECURED_FARM_250000_THROUGH_500000_THRIFT" hidden="1">"c24970"</definedName>
    <definedName name="IQ_LOANS_SECURED_FARM_LESS_THAN_EQUAL_100000_THRIFT" hidden="1">"c24966"</definedName>
    <definedName name="IQ_LOANS_SECURED_NON_US_FDIC" hidden="1">"c6380"</definedName>
    <definedName name="IQ_LOANS_SECURED_RE_NET_CHARGE_OFFS_FDIC" hidden="1">"c6626"</definedName>
    <definedName name="IQ_LOANS_SERVICED_OTHERS_THRIFT" hidden="1">"c24935"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OSS_RECOGNIZED_OCI_FFIEC" hidden="1">"c25847"</definedName>
    <definedName name="IQ_LT_DEBT_CM" hidden="1">"c676"</definedName>
    <definedName name="IQ_LT_DEBT_DERIVATIVES" hidden="1">"c17743"</definedName>
    <definedName name="IQ_LT_DEBT_ISSUED_CM" hidden="1">"c683"</definedName>
    <definedName name="IQ_LT_DEBT_REPAID_CM" hidden="1">"c691"</definedName>
    <definedName name="IQ_LT_INVEST_CM" hidden="1">"c698"</definedName>
    <definedName name="IQ_LTM" hidden="1">2000</definedName>
    <definedName name="IQ_LTMMONTH" hidden="1">120000</definedName>
    <definedName name="IQ_MACRO_SURVEY_BUSINESS_BAROMETER" hidden="1">"c20803"</definedName>
    <definedName name="IQ_MACRO_SURVEY_BUSINESS_CONDITION" hidden="1">"c20804"</definedName>
    <definedName name="IQ_MACRO_SURVEY_BUSINESS_CONDITIONS" hidden="1">"c20805"</definedName>
    <definedName name="IQ_MACRO_SURVEY_CONSUMER_COMFORT" hidden="1">"c20806"</definedName>
    <definedName name="IQ_MACRO_SURVEY_CONSUMER_CONFIDENCE" hidden="1">"c20807"</definedName>
    <definedName name="IQ_MACRO_SURVEY_ISM_NONMANUFACTURING" hidden="1">"c20809"</definedName>
    <definedName name="IQ_MACRO_SURVEY_ISM_PMI" hidden="1">"c20810"</definedName>
    <definedName name="IQ_MACRO_SURVEY_LEADING_INDICATOR" hidden="1">"c20811"</definedName>
    <definedName name="IQ_MACRO_SURVEY_PMAC_DIFFUSION" hidden="1">"c20812"</definedName>
    <definedName name="IQ_MANUFACTURING_INV_APPAREL" hidden="1">"c20813"</definedName>
    <definedName name="IQ_MANUFACTURING_INV_BEVERAGE" hidden="1">"c20814"</definedName>
    <definedName name="IQ_MANUFACTURING_INV_CHEMICALS" hidden="1">"c20815"</definedName>
    <definedName name="IQ_MANUFACTURING_INV_COMPUTER" hidden="1">"c20816"</definedName>
    <definedName name="IQ_MANUFACTURING_INV_DUR" hidden="1">"c20817"</definedName>
    <definedName name="IQ_MANUFACTURING_INV_DUR_MISC" hidden="1">"c20818"</definedName>
    <definedName name="IQ_MANUFACTURING_INV_ELECTRIC" hidden="1">"c20819"</definedName>
    <definedName name="IQ_MANUFACTURING_INV_FAB_METALS" hidden="1">"c20820"</definedName>
    <definedName name="IQ_MANUFACTURING_INV_FOOD" hidden="1">"c20821"</definedName>
    <definedName name="IQ_MANUFACTURING_INV_FURNITURE" hidden="1">"c20822"</definedName>
    <definedName name="IQ_MANUFACTURING_INV_LEATHER" hidden="1">"c20823"</definedName>
    <definedName name="IQ_MANUFACTURING_INV_MACHINERY" hidden="1">"c20824"</definedName>
    <definedName name="IQ_MANUFACTURING_INV_MINERAL" hidden="1">"c20825"</definedName>
    <definedName name="IQ_MANUFACTURING_INV_NONDUR" hidden="1">"c20826"</definedName>
    <definedName name="IQ_MANUFACTURING_INV_PAPER" hidden="1">"c20827"</definedName>
    <definedName name="IQ_MANUFACTURING_INV_PETROLEUM" hidden="1">"c20828"</definedName>
    <definedName name="IQ_MANUFACTURING_INV_PLASTICS" hidden="1">"c20829"</definedName>
    <definedName name="IQ_MANUFACTURING_INV_PRIMARY_METALS" hidden="1">"c20830"</definedName>
    <definedName name="IQ_MANUFACTURING_INV_PRINTING" hidden="1">"c20831"</definedName>
    <definedName name="IQ_MANUFACTURING_INV_SALES_RATIO" hidden="1">"c20832"</definedName>
    <definedName name="IQ_MANUFACTURING_INV_TEXTILE_MILLS" hidden="1">"c20833"</definedName>
    <definedName name="IQ_MANUFACTURING_INV_TEXTILE_PRODUCTS" hidden="1">"c20834"</definedName>
    <definedName name="IQ_MANUFACTURING_INV_TOTAL" hidden="1">"c20835"</definedName>
    <definedName name="IQ_MANUFACTURING_INV_TRANSPORTATION" hidden="1">"c20836"</definedName>
    <definedName name="IQ_MANUFACTURING_INV_WOOD" hidden="1">"c20837"</definedName>
    <definedName name="IQ_MANUFACTURING_NEW_ORDERS" hidden="1">"c20838"</definedName>
    <definedName name="IQ_MANUFACTURING_NEW_ORDERS_COMPUTERS" hidden="1">"c20839"</definedName>
    <definedName name="IQ_MANUFACTURING_NEW_ORDERS_DUR" hidden="1">"c20840"</definedName>
    <definedName name="IQ_MANUFACTURING_NEW_ORDERS_ELECTRIC" hidden="1">"c20841"</definedName>
    <definedName name="IQ_MANUFACTURING_NEW_ORDERS_FAB_METALS" hidden="1">"c20842"</definedName>
    <definedName name="IQ_MANUFACTURING_NEW_ORDERS_FURNITURE" hidden="1">"c20843"</definedName>
    <definedName name="IQ_MANUFACTURING_NEW_ORDERS_MACHINERY" hidden="1">"c20844"</definedName>
    <definedName name="IQ_MANUFACTURING_NEW_ORDERS_METALS" hidden="1">"c20845"</definedName>
    <definedName name="IQ_MANUFACTURING_NEW_ORDERS_NONDUR" hidden="1">"c20846"</definedName>
    <definedName name="IQ_MANUFACTURING_NEW_ORDERS_TRANSPORTATION" hidden="1">"c20847"</definedName>
    <definedName name="IQ_MANUFACTURING_SHIPMENTS_APPAREL" hidden="1">"c20848"</definedName>
    <definedName name="IQ_MANUFACTURING_SHIPMENTS_BEVERAGE" hidden="1">"c20849"</definedName>
    <definedName name="IQ_MANUFACTURING_SHIPMENTS_CHEMICALS" hidden="1">"c20850"</definedName>
    <definedName name="IQ_MANUFACTURING_SHIPMENTS_DUR" hidden="1">"c20851"</definedName>
    <definedName name="IQ_MANUFACTURING_SHIPMENTS_DUR_COMPUTER" hidden="1">"c20852"</definedName>
    <definedName name="IQ_MANUFACTURING_SHIPMENTS_DUR_ELECTRIC" hidden="1">"c20853"</definedName>
    <definedName name="IQ_MANUFACTURING_SHIPMENTS_DUR_FAB_METALS" hidden="1">"c20854"</definedName>
    <definedName name="IQ_MANUFACTURING_SHIPMENTS_DUR_FURNITURE" hidden="1">"c20855"</definedName>
    <definedName name="IQ_MANUFACTURING_SHIPMENTS_DUR_MACHINERY" hidden="1">"c20856"</definedName>
    <definedName name="IQ_MANUFACTURING_SHIPMENTS_DUR_MINERALS" hidden="1">"c20857"</definedName>
    <definedName name="IQ_MANUFACTURING_SHIPMENTS_DUR_MISC" hidden="1">"c20858"</definedName>
    <definedName name="IQ_MANUFACTURING_SHIPMENTS_DUR_PRIM_METALS" hidden="1">"c20859"</definedName>
    <definedName name="IQ_MANUFACTURING_SHIPMENTS_DUR_TRANSPORTATION" hidden="1">"c20860"</definedName>
    <definedName name="IQ_MANUFACTURING_SHIPMENTS_DUR_WOOD" hidden="1">"c20861"</definedName>
    <definedName name="IQ_MANUFACTURING_SHIPMENTS_FOOD" hidden="1">"c20862"</definedName>
    <definedName name="IQ_MANUFACTURING_SHIPMENTS_LEATHER" hidden="1">"c20863"</definedName>
    <definedName name="IQ_MANUFACTURING_SHIPMENTS_NONDUR" hidden="1">"c20864"</definedName>
    <definedName name="IQ_MANUFACTURING_SHIPMENTS_PAPER" hidden="1">"c20865"</definedName>
    <definedName name="IQ_MANUFACTURING_SHIPMENTS_PETROLEUM" hidden="1">"c20866"</definedName>
    <definedName name="IQ_MANUFACTURING_SHIPMENTS_PLASTICS" hidden="1">"c20867"</definedName>
    <definedName name="IQ_MANUFACTURING_SHIPMENTS_PRINTING" hidden="1">"c20868"</definedName>
    <definedName name="IQ_MANUFACTURING_SHIPMENTS_TEXTILE_MILLS" hidden="1">"c20869"</definedName>
    <definedName name="IQ_MANUFACTURING_SHIPMENTS_TEXTILE_PRODUCTS" hidden="1">"c20870"</definedName>
    <definedName name="IQ_MANUFACTURING_SHIPMENTS_TOTAL" hidden="1">"c20871"</definedName>
    <definedName name="IQ_MANUFACTURING_UNFILLED_ORDERS" hidden="1">"c20872"</definedName>
    <definedName name="IQ_MANUFACTURING_UNFILLED_ORDERS_COMPUTERS" hidden="1">"c20873"</definedName>
    <definedName name="IQ_MANUFACTURING_UNFILLED_ORDERS_DUR" hidden="1">"c20874"</definedName>
    <definedName name="IQ_MANUFACTURING_UNFILLED_ORDERS_ELECTRIC" hidden="1">"c20875"</definedName>
    <definedName name="IQ_MANUFACTURING_UNFILLED_ORDERS_FAB_METALS" hidden="1">"c20876"</definedName>
    <definedName name="IQ_MANUFACTURING_UNFILLED_ORDERS_FURNITURE" hidden="1">"c20877"</definedName>
    <definedName name="IQ_MANUFACTURING_UNFILLED_ORDERS_MACHINERY" hidden="1">"c20878"</definedName>
    <definedName name="IQ_MANUFACTURING_UNFILLED_ORDERS_METALS" hidden="1">"c20879"</definedName>
    <definedName name="IQ_MANUFACTURING_UNFILLED_ORDERS_TRANSPORTATION" hidden="1">"c20880"</definedName>
    <definedName name="IQ_MARKETING_OTHER_PROF_SERVICES_THRIFT" hidden="1">"c24788"</definedName>
    <definedName name="IQ_MATURITY_ONE_YEAR_LESS_FDIC" hidden="1">"c6425"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PASS_THROUGH_FNMA_AFS_AMORT_COST_FFIEC" hidden="1">"c20494"</definedName>
    <definedName name="IQ_MBS_PASS_THROUGH_FNMA_AFS_FAIR_VAL_FFIEC" hidden="1">"c20459"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HTM_AMORT_COST_FFIEC" hidden="1">"c20441"</definedName>
    <definedName name="IQ_MBS_PASS_THROUGH_GNMA_HTM_FAIR_VAL_FFIEC" hidden="1">"c20476"</definedName>
    <definedName name="IQ_MBS_PASS_THROUGH_OTHER_AFS_AMORT_COST_FFIEC" hidden="1">"c20495"</definedName>
    <definedName name="IQ_MBS_PASS_THROUGH_OTHER_AFS_FAIR_VAL_FFIEC" hidden="1">"c20460"</definedName>
    <definedName name="IQ_MBS_PASS_THROUGH_OTHER_HTM_AMORT_COST_FFIEC" hidden="1">"c20443"</definedName>
    <definedName name="IQ_MBS_PASS_THROUGH_OTHER_HTM_FAIR_VAL_FFIEC" hidden="1">"c20478"</definedName>
    <definedName name="IQ_MEMO_LOANS_SOLD_WITH_RECOURSE_120_DAYS_LESS_THRIFT" hidden="1">"c25337"</definedName>
    <definedName name="IQ_MEMO_LOANS_SOLD_WITH_RECOURSE_GREATER_THAN_120_DAYS_THRIFT" hidden="1">"c25338"</definedName>
    <definedName name="IQ_MEMO_REFINANCING_LOANS_THRIFT" hidden="1">"c25336"</definedName>
    <definedName name="IQ_MERGER_CM" hidden="1">"c715"</definedName>
    <definedName name="IQ_MERGER_RESTRUCTURE_CM" hidden="1">"c721"</definedName>
    <definedName name="IQ_METRIC_NAME" hidden="1">"c18017"</definedName>
    <definedName name="IQ_MINIMUM_RENTAL" hidden="1">"c26970"</definedName>
    <definedName name="IQ_MINORITY_INT_AVG_ASSETS_THRIFT" hidden="1">"c25660"</definedName>
    <definedName name="IQ_MINORITY_INT_REDEEM" hidden="1">"c25787"</definedName>
    <definedName name="IQ_MINORITY_INT_REDEEM_TOT" hidden="1">"c25789"</definedName>
    <definedName name="IQ_MINORITY_INT_THRIFT" hidden="1">"c24926"</definedName>
    <definedName name="IQ_MINORITY_INTEREST_CM" hidden="1">"c729"</definedName>
    <definedName name="IQ_MISCELLANEOUS_ASSETS_ALL_OTHER_ACCOUNTS_THRIFT" hidden="1">"c25437"</definedName>
    <definedName name="IQ_MISCELLANEOUS_ASSETS_EMPLOYEE_BENEFIT_RETIREMENT_RELATED_ACCOUNTS_THRIFT" hidden="1">"c25421"</definedName>
    <definedName name="IQ_MISCELLANEOUS_ASSETS_PERSONAL_TRUST_AGENCY_INV_MANAGEMENT_ACCOUNTS_THRIFT" hidden="1">"c25405"</definedName>
    <definedName name="IQ_MMDA_SAVINGS_TOTAL_DEPOSITS_THRIFT" hidden="1">"c25778"</definedName>
    <definedName name="IQ_MOBILE_HOME_LOANS_THRIFT" hidden="1">"c24863"</definedName>
    <definedName name="IQ_MONEY_MARKET_DEPOSIT_ACCOUNTS_FDIC" hidden="1">"c6553"</definedName>
    <definedName name="IQ_MONEY_MARKET_DEPOSIT_ACCOUNTS_THRIFT" hidden="1">"c24999"</definedName>
    <definedName name="IQ_MONEY_SUPPLY_M1" hidden="1">"c20881"</definedName>
    <definedName name="IQ_MONEY_SUPPLY_M2" hidden="1">"c20882"</definedName>
    <definedName name="IQ_MONTH" hidden="1">15000</definedName>
    <definedName name="IQ_MORTGAGE_ASSET_BACKED_SEC_ELIGIBLE_20_PCT_RISK_WEIGHT_THRIFT" hidden="1">"c25057"</definedName>
    <definedName name="IQ_MORTGAGE_ASSET_BACKED_SEC_ELIGIBLE_50_PCT_RISK_WEIGHT_THRIFT" hidden="1">"c25066"</definedName>
    <definedName name="IQ_MORTGAGE_BACKED_SEC_ADJUSTED_NCOS_THRIFT" hidden="1">"c25198"</definedName>
    <definedName name="IQ_MORTGAGE_BACKED_SEC_GVA_CHARGE_OFFS_THRIFT" hidden="1">"c25113"</definedName>
    <definedName name="IQ_MORTGAGE_BACKED_SEC_GVA_RECOVERIES_THRIFT" hidden="1">"c25144"</definedName>
    <definedName name="IQ_MORTGAGE_BACKED_SEC_INV_SEC_THRIFT" hidden="1">"c25673"</definedName>
    <definedName name="IQ_MORTGAGE_BACKED_SEC_SVA_PROVISIONS_TRANSFERS_FROM_GVA_THRIFT" hidden="1">"c25167"</definedName>
    <definedName name="IQ_MORTGAGE_BACKED_SECURITIES_FDIC" hidden="1">"c6402"</definedName>
    <definedName name="IQ_MORTGAGE_LOAN_SERVICING_FEES_THRIFT" hidden="1">"c24766"</definedName>
    <definedName name="IQ_MORTGAGE_LOANS_ADJUSTED_NCOS_TOTAL_THRIFT" hidden="1">"c25199"</definedName>
    <definedName name="IQ_MORTGAGE_LOANS_CASH_REPAYMENT_PRINCIPAL_THRIFT" hidden="1">"c25334"</definedName>
    <definedName name="IQ_MORTGAGE_LOANS_DEBITS_LESS_CREDITS_OTHER_THAN_REPAYMENT_PRINCIPAL_THRIFT" hidden="1">"c25335"</definedName>
    <definedName name="IQ_MORTGAGE_LOANS_FORECLOSED_DURING_QUARTER_TOTAL_THRIFT" hidden="1">"c25236"</definedName>
    <definedName name="IQ_MORTGAGE_LOANS_GROSS_LOANS_THRIFT" hidden="1">"c25721"</definedName>
    <definedName name="IQ_MORTGAGE_LOANS_GVA_RECOVERIES_TOTAL_THRIFT" hidden="1">"c25145"</definedName>
    <definedName name="IQ_MORTGAGE_LOANS_PARTICIPATIONS_PURCHASED_FROM_ENTITIES_OTHER_THAN_FEDERALLY_INSURED_DEPOSITORY_INSTITUTIONS_THEIR_SUBSIDIARIES_THRIFT" hidden="1">"c25326"</definedName>
    <definedName name="IQ_MORTGAGE_LOANS_PARTICIPATIONS_PURCHASED_SECURED_1_4_DWELLING_UNITS_THRIFT" hidden="1">"c25325"</definedName>
    <definedName name="IQ_MORTGAGE_LOANS_PARTICIPATIONS_PURCHASED_SECURED_HOME_EQUITY_JUNIOR_LIENS_THRIFT" hidden="1">"c25327"</definedName>
    <definedName name="IQ_MORTGAGE_LOANS_PARTICIPATIONS_PURCHASED_SECURED_MULTIFAMILY_5_MORE_DWELLING_UNITS_THRIFT" hidden="1">"c25328"</definedName>
    <definedName name="IQ_MORTGAGE_LOANS_PARTICIPATIONS_PURCHASED_SECURED_NONRES_THRIFT" hidden="1">"c25329"</definedName>
    <definedName name="IQ_MORTGAGE_LOANS_PARTICIPATIONS_SOLD_SECURED_1_4_DWELLING_UNITS_THRIFT" hidden="1">"c25330"</definedName>
    <definedName name="IQ_MORTGAGE_LOANS_PARTICIPATIONS_SOLD_SECURED_HOME_EQUITY_JUNIOR_LIENS_THRIFT" hidden="1">"c25331"</definedName>
    <definedName name="IQ_MORTGAGE_LOANS_PARTICIPATIONS_SOLD_SECURED_MULTIFAMILY_5_MORE_DWELLING_UNITS_THRIFT" hidden="1">"c25332"</definedName>
    <definedName name="IQ_MORTGAGE_LOANS_PARTICIPATIONS_SOLD_SECURED_NONRES_THRIFT" hidden="1">"c25333"</definedName>
    <definedName name="IQ_MORTGAGE_LOANS_RISK_BASED_CAPITAL_THRIFT" hidden="1">"c25706"</definedName>
    <definedName name="IQ_MORTGAGE_LOANS_SECURED_NON_RES_PROPERTY_100000_THROUGH_250000_THRIFT" hidden="1">"c24954"</definedName>
    <definedName name="IQ_MORTGAGE_LOANS_SECURED_NON_RES_PROPERTY_250000_THROUGH_1000000_THRIFT" hidden="1">"c24956"</definedName>
    <definedName name="IQ_MORTGAGE_LOANS_SECURED_NON_RES_PROPERTY_LESS_THAN_EQUAL_100000_THRIFT" hidden="1">"c24952"</definedName>
    <definedName name="IQ_MORTGAGE_LOANS_SVA_PROVISIONS_TRANSFERS_FROM_GVA_TOTAL_THRIFT" hidden="1">"c25168"</definedName>
    <definedName name="IQ_MORTGAGE_LOANS_TOTAL_GVA_CHARGE_OFFS_THRIFT" hidden="1">"c25114"</definedName>
    <definedName name="IQ_MORTGAGE_LOANS_TOTAL_LOANS_THRIFT" hidden="1">"c25740"</definedName>
    <definedName name="IQ_MORTGAGE_SERVICING_FDIC" hidden="1">"c6335"</definedName>
    <definedName name="IQ_MORTGAGE_SERVICING_RIGHTS_AMOUNTS_NETTED_THRIFT" hidden="1">"c25504"</definedName>
    <definedName name="IQ_MORTGAGE_SERVICING_RIGHTS_LEVEL_1_THRIFT" hidden="1">"c25500"</definedName>
    <definedName name="IQ_MORTGAGE_SERVICING_RIGHTS_LEVEL_2_THRIFT" hidden="1">"c25501"</definedName>
    <definedName name="IQ_MORTGAGE_SERVICING_RIGHTS_LEVEL_3_THRIFT" hidden="1">"c25502"</definedName>
    <definedName name="IQ_MORTGAGE_SERVICING_RIGHTS_TOTAL_AFTER_NETTING_THRIFT" hidden="1">"c25505"</definedName>
    <definedName name="IQ_MORTGAGE_SERVICING_RIGHTS_TOTAL_BEFORE_NETTING_THRIFT" hidden="1">"c25503"</definedName>
    <definedName name="IQ_MTD" hidden="1">800000</definedName>
    <definedName name="IQ_MULTIFAMILY_5_MORE_DWELLING_UNITS_CONSTRUCTION_MORTGAGE_LOANS_ADJUSTED_NCOS_TOTAL_THRIFT" hidden="1">"c25201"</definedName>
    <definedName name="IQ_MULTIFAMILY_5_MORE_DWELLING_UNITS_CONSTRUCTION_MORTGAGE_LOANS_GVA_CHARGE_OFFS_THRIFT" hidden="1">"c25116"</definedName>
    <definedName name="IQ_MULTIFAMILY_5_MORE_DWELLING_UNITS_CONSTRUCTION_MORTGAGE_LOANS_GVA_RECOVERIES_THRIFT" hidden="1">"c25147"</definedName>
    <definedName name="IQ_MULTIFAMILY_5_MORE_DWELLING_UNITS_CONSTRUCTION_MORTGAGE_LOANS_SVA_PROVISIONS_TRANSFERS_FROM_GVA_TOTAL_THRIFT" hidden="1">"c25170"</definedName>
    <definedName name="IQ_MULTIFAMILY_5_MORE_DWELLING_UNITS_IN_PROCESS_FORECLOSURE_THRIFT" hidden="1">"c25307"</definedName>
    <definedName name="IQ_MULTIFAMILY_5_MORE_DWELLING_UNITS_PML_ADJUSTED_NCOS_TOTAL_THRIFT" hidden="1">"c25206"</definedName>
    <definedName name="IQ_MULTIFAMILY_5_MORE_DWELLING_UNITS_PML_GVA_CHARGE_OFFS_THRIFT" hidden="1">"c25121"</definedName>
    <definedName name="IQ_MULTIFAMILY_5_MORE_DWELLING_UNITS_PML_GVA_RECOVERIES_THRIFT" hidden="1">"c25152"</definedName>
    <definedName name="IQ_MULTIFAMILY_5_MORE_DWELLING_UNITS_PML_SVA_PROVISIONS_TRANSFERS_FROM_GVA_TOTAL_THRIFT" hidden="1">"c25175"</definedName>
    <definedName name="IQ_MULTIFAMILY_5_MORE_LOANS_TOTAL_LOANS_THRIFT" hidden="1">"c25745"</definedName>
    <definedName name="IQ_MULTIFAMILY_LOANS_GROSS_LOANS_THRIFT" hidden="1">"c25729"</definedName>
    <definedName name="IQ_MULTIFAMILY_LOANS_RISK_BASED_CAPITAL_THRIFT" hidden="1">"c25714"</definedName>
    <definedName name="IQ_MULTIFAMILY_RESIDENTIAL_LOANS_FDIC" hidden="1">"c6311"</definedName>
    <definedName name="IQ_MUNICIPAL_SEC_INV_SEC_THRIFT" hidden="1">"c25672"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MUTUAL_FUNDS_EQUITY_ALL_OTHER_ACCOUNTS_THRIFT" hidden="1">"c25428"</definedName>
    <definedName name="IQ_MUTUAL_FUNDS_EQUITY_EMPLOYEE_BENEFIT_RETIREMENT_RELATED_ACCOUNTS_THRIFT" hidden="1">"c25412"</definedName>
    <definedName name="IQ_MUTUAL_FUNDS_EQUITY_PERSONAL_TRUST_AGENCY_INV_MANAGEMENT_ACCOUNTS_THRIFT" hidden="1">"c25396"</definedName>
    <definedName name="IQ_MUTUAL_FUNDS_MONEY_MARKET_ALL_OTHER_ACCOUNTS_THRIFT" hidden="1">"c25427"</definedName>
    <definedName name="IQ_MUTUAL_FUNDS_MONEY_MARKET_EMPLOYEE_BENEFIT_RETIREMENT_RELATED_ACCOUNTS_THRIFT" hidden="1">"c25411"</definedName>
    <definedName name="IQ_MUTUAL_FUNDS_MONEY_MARKET_PERSONAL_TRUST_AGENCY_INV_MANAGEMENT_ACCOUNTS_THRIFT" hidden="1">"c25395"</definedName>
    <definedName name="IQ_MUTUAL_FUNDS_OTHER_ALL_OTHER_ACCOUNTS_THRIFT" hidden="1">"c25429"</definedName>
    <definedName name="IQ_MUTUAL_FUNDS_OTHER_EMPLOYEE_BENEFIT_RETIREMENT_RELATED_ACCOUNTS_THRIFT" hidden="1">"c25413"</definedName>
    <definedName name="IQ_MUTUAL_FUNDS_OTHER_PERSONAL_TRUST_AGENCY_INV_MANAGEMENT_ACCOUNTS_THRIFT" hidden="1">"c25397"</definedName>
    <definedName name="IQ_NAMES_REVISION_DATE_" hidden="1">40218.8268634259</definedName>
    <definedName name="IQ_NATURAL_RESOURCES_COST" hidden="1">"c17550"</definedName>
    <definedName name="IQ_NAV_SHARE_EST_NOTE" hidden="1">"c17522"</definedName>
    <definedName name="IQ_NAV_SHARE_EST_NOTE_CIQ" hidden="1">"c17475"</definedName>
    <definedName name="IQ_NCLS_CLOSED_END_1_4_FAMILY_LOANS_TOTAL_LOANS_THRIFT" hidden="1">"c25769"</definedName>
    <definedName name="IQ_NCLS_COMM_LOANS_TOTAL_LOANS_THRIFT" hidden="1">"c25775"</definedName>
    <definedName name="IQ_NCLS_COMM_RE_FARM_LOANS_TOTAL_LOANS_THRIFT" hidden="1">"c25771"</definedName>
    <definedName name="IQ_NCLS_COMM_RE_NONFARM_NONRESIDENTIAL_TOTAL_LOANS_THRIFT" hidden="1">"c25773"</definedName>
    <definedName name="IQ_NCLS_CONSTRUCTION_LAND_DEVELOPMENT_LOANS_TOTAL_LOANS_THRIFT" hidden="1">"c25767"</definedName>
    <definedName name="IQ_NCLS_CONSUMER_LOANS_TOTAL_LOANS_THRIFT" hidden="1">"c25776"</definedName>
    <definedName name="IQ_NCLS_LAND_LOANS_TOTAL_LOANS_THRIFT" hidden="1">"c25772"</definedName>
    <definedName name="IQ_NCLS_MULTIFAMILY_5_MORE_LOANS_TOTAL_LOANS_THRIFT" hidden="1">"c25770"</definedName>
    <definedName name="IQ_NCLS_TOTAL_1_4_FAMILY_LOANS_TOTAL_LOANS_THRIFT" hidden="1">"c25768"</definedName>
    <definedName name="IQ_NCLS_TOTAL_LOANS_TOTAL_LOANS_THRIFT" hidden="1">"c25765"</definedName>
    <definedName name="IQ_NCLS_TOTAL_MORTGAGE_LOANS_TOTAL_LOANS_THRIFT" hidden="1">"c25766"</definedName>
    <definedName name="IQ_NCLS_TOTAL_NON_RE_LOANS_TOTAL_LOANS_THRIFT" hidden="1">"c25774"</definedName>
    <definedName name="IQ_NCOS_CLOSED_END_1_4_FAMILY_LOANS_TOTAL_LOANS_THRIFT" hidden="1">"c25757"</definedName>
    <definedName name="IQ_NCOS_COMM_LOANS_TOTAL_LOANS_THRIFT" hidden="1">"c25763"</definedName>
    <definedName name="IQ_NCOS_COMM_RE_FARM_LOANS_TOTAL_LOANS_THRIFT" hidden="1">"c25759"</definedName>
    <definedName name="IQ_NCOS_COMM_RE_NONFARM_NONRESIDENTIAL_TOTAL_LOANS_THRIFT" hidden="1">"c25761"</definedName>
    <definedName name="IQ_NCOS_CONSTRUCTION_LAND_DEVELOPMENT_LOANS_TOTAL_LOANS_THRIFT" hidden="1">"c25755"</definedName>
    <definedName name="IQ_NCOS_CONSUMER_LOANS_TOTAL_LOANS_THRIFT" hidden="1">"c25764"</definedName>
    <definedName name="IQ_NCOS_LAND_LOANS_TOTAL_LOANS_THRIFT" hidden="1">"c25760"</definedName>
    <definedName name="IQ_NCOS_MULTIFAMILY_5_MORE_LOANS_TOTAL_LOANS_THRIFT" hidden="1">"c25758"</definedName>
    <definedName name="IQ_NCOS_TOTAL_1_4_FAMILY_LOANS_TOTAL_LOANS_THRIFT" hidden="1">"c25756"</definedName>
    <definedName name="IQ_NCOS_TOTAL_LOANS_TOTAL_LOANS_THRIFT" hidden="1">"c25753"</definedName>
    <definedName name="IQ_NCOS_TOTAL_MORTGAGE_LOANS_TOTAL_LOANS_THRIFT" hidden="1">"c25754"</definedName>
    <definedName name="IQ_NCOS_TOTAL_NON_RE_LOANS_TOTAL_LOANS_THRIFT" hidden="1">"c25762"</definedName>
    <definedName name="IQ_NET_CHARGE_OFFS_FDIC" hidden="1">"c6641"</definedName>
    <definedName name="IQ_NET_CHARGE_OFFS_LOANS_FDIC" hidden="1">"c6751"</definedName>
    <definedName name="IQ_NET_DEBT_ISSUED_CM" hidden="1">"c753"</definedName>
    <definedName name="IQ_NET_FED_FUNDS_PURCHASED_TOTAL_ASSETS_THRIFT" hidden="1">"c25704"</definedName>
    <definedName name="IQ_NET_FIDUCIARY_RELATED_SERVICES_INC_THRIFT" hidden="1">"c24815"</definedName>
    <definedName name="IQ_NET_GAIN_SALE_AFS_SEC_THRIFT" hidden="1">"c24770"</definedName>
    <definedName name="IQ_NET_GAIN_SALE_LOANS_HELD_INV_THRIFT" hidden="1">"c24774"</definedName>
    <definedName name="IQ_NET_GAIN_SALE_LOANS_LEASES_HFS_THRIFT" hidden="1">"c24771"</definedName>
    <definedName name="IQ_NET_GAIN_SALE_OTHER_ASSETS_HELD_INV_THRIFT" hidden="1">"c24775"</definedName>
    <definedName name="IQ_NET_GAIN_SALE_OTHER_ASSETS_HFS_THRIFT" hidden="1">"c24772"</definedName>
    <definedName name="IQ_NET_GAIN_SALE_SEC_HTM_THRIFT" hidden="1">"c24773"</definedName>
    <definedName name="IQ_NET_GAINS_FIN_ASSETS_LIABILITIES_FV_THRIFT" hidden="1">"c24776"</definedName>
    <definedName name="IQ_NET_IMPAIR_LOSS_FFIEC" hidden="1">"c25848"</definedName>
    <definedName name="IQ_NET_INCOME_AVG_ASSETS_THRIFT" hidden="1">"c25661"</definedName>
    <definedName name="IQ_NET_INCOME_FDIC" hidden="1">"c6587"</definedName>
    <definedName name="IQ_NET_INCOME_LOCOM_ADJUST_THRIFT" hidden="1">"c24779"</definedName>
    <definedName name="IQ_NET_INCOME_LOSS_ATTRIBUTABLE_SAVINGS_ASSOCIATION_THRIFT" hidden="1">"c25009"</definedName>
    <definedName name="IQ_NET_INCOME_REPOSSESS_ASSETS_THRIFT" hidden="1">"c24778"</definedName>
    <definedName name="IQ_NET_INCOME_SALE_ASSETS_HFS_AFS_SEC_THRIFT" hidden="1">"c24769"</definedName>
    <definedName name="IQ_NET_INT_INC_BNK_FDIC" hidden="1">"c6570"</definedName>
    <definedName name="IQ_NET_INT_INC_CM" hidden="1">"c765"</definedName>
    <definedName name="IQ_NET_INT_INCOME_AFTER_PROVISION_THRIFT" hidden="1">"c25871"</definedName>
    <definedName name="IQ_NET_INT_INCOME_AVG_ASSETS_THRIFT" hidden="1">"c25649"</definedName>
    <definedName name="IQ_NET_INT_INCOME_AVG_EARNING_ASSETS_THRIFT" hidden="1">"c25668"</definedName>
    <definedName name="IQ_NET_INT_INCOME_THRIFT" hidden="1">"c24765"</definedName>
    <definedName name="IQ_NET_INTEREST_MARGIN_FDIC" hidden="1">"c6726"</definedName>
    <definedName name="IQ_NET_LOAN_LOSSES_AVG_LOANS_THRIFT" hidden="1">"c25635"</definedName>
    <definedName name="IQ_NET_LOANS_CORE_DEPOSITS_THRIFT" hidden="1">"c25628"</definedName>
    <definedName name="IQ_NET_LOANS_EQUITY_THRIFT" hidden="1">"c25632"</definedName>
    <definedName name="IQ_NET_LOANS_LEASES_CORE_DEPOSITS_FDIC" hidden="1">"c6743"</definedName>
    <definedName name="IQ_NET_LOANS_LEASES_DEPOSITS_FDIC" hidden="1">"c6742"</definedName>
    <definedName name="IQ_NET_LOANS_LEASES_LETTERS_CREDIT_TOTAL_ASSETS_THRIFT" hidden="1">"c25698"</definedName>
    <definedName name="IQ_NET_LOANS_LEASES_TOTAL_ASSETS_THRIFT" hidden="1">"c25694"</definedName>
    <definedName name="IQ_NET_LOANS_TOTAL_DEPOSITS_THRIFT" hidden="1">"c25627"</definedName>
    <definedName name="IQ_NET_LOSSES_FIDUCIARY_RELATED_SERVICES_THRIFT" hidden="1">"c24813"</definedName>
    <definedName name="IQ_NET_NEW_CLIENT_ASSETS" hidden="1">"c20430"</definedName>
    <definedName name="IQ_NET_NONCORE_FUNDING_DEPENDENCE_SHORT_TERM_THRIFT" hidden="1">"c25624"</definedName>
    <definedName name="IQ_NET_NONCORE_FUNDING_DEPENDENCE_THRIFT" hidden="1">"c25623"</definedName>
    <definedName name="IQ_NET_OCCUPANCY_EXP_ADJUSTED_OPERATING_INCOME_THRIFT" hidden="1">"c25686"</definedName>
    <definedName name="IQ_NET_OPERATING_INCOME_ASSETS_FDIC" hidden="1">"c6729"</definedName>
    <definedName name="IQ_NET_PC_WRITTEN" hidden="1">"c1027"</definedName>
    <definedName name="IQ_NET_PROVISION_LOSS_GVA_THRIFT" hidden="1">"c25092"</definedName>
    <definedName name="IQ_NET_PROVISION_LOSS_SVA_THRIFT" hidden="1">"c25100"</definedName>
    <definedName name="IQ_NET_PROVISION_LOSS_TVA_THRIFT" hidden="1">"c25107"</definedName>
    <definedName name="IQ_NET_SECURITIZATION_INCOME_FDIC" hidden="1">"c6669"</definedName>
    <definedName name="IQ_NET_SERVICING_FEES_ADJUSTED_OPERATING_INCOME_THRIFT" hidden="1">"c25690"</definedName>
    <definedName name="IQ_NET_SERVICING_FEES_FDIC" hidden="1">"c6668"</definedName>
    <definedName name="IQ_NEW_BASIS_ACCOUNTING_ADJUSTMENTS_SAVINGS_ASSOCIATION_THRIFT" hidden="1">"c25015"</definedName>
    <definedName name="IQ_NEW_DEPOSITS_RECEIVED_LESS_DEPOSITS_WITHDRAWN_THRIFT" hidden="1">"c25343"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XDIV_DATE" hidden="1">"c17411"</definedName>
    <definedName name="IQ_NI_BANK_NONCONTROLLING_INT_THRIFT" hidden="1">"c24798"</definedName>
    <definedName name="IQ_NI_COMPANY" hidden="1">"c25786"</definedName>
    <definedName name="IQ_NI_NONCONTROLLING_INT_THRIFT" hidden="1">"c24799"</definedName>
    <definedName name="IQ_NI_THRIFT" hidden="1">"c24800"</definedName>
    <definedName name="IQ_NOM_DOMESTIC_PURCHASES" hidden="1">"c20883"</definedName>
    <definedName name="IQ_NOM_EXPORT" hidden="1">"c20884"</definedName>
    <definedName name="IQ_NOM_EXPORT_GOODS" hidden="1">"c20885"</definedName>
    <definedName name="IQ_NOM_EXPORT_INCOME" hidden="1">"c20886"</definedName>
    <definedName name="IQ_NOM_EXPORT_SERVICES" hidden="1">"c20887"</definedName>
    <definedName name="IQ_NOM_GDP" hidden="1">"c20888"</definedName>
    <definedName name="IQ_NOM_GDP_RESIDUAL" hidden="1">"c20889"</definedName>
    <definedName name="IQ_NOM_GNP" hidden="1">"c20890"</definedName>
    <definedName name="IQ_NOM_GOVT_CONSUM_INVEST" hidden="1">"c20891"</definedName>
    <definedName name="IQ_NOM_GOVT_CONSUM_INVEST_DEF" hidden="1">"c20892"</definedName>
    <definedName name="IQ_NOM_GOVT_CONSUM_INVEST_DEF_CONSUM" hidden="1">"c20893"</definedName>
    <definedName name="IQ_NOM_GOVT_CONSUM_INVEST_DEF_INVEST" hidden="1">"c20894"</definedName>
    <definedName name="IQ_NOM_GOVT_CONSUM_INVEST_FEDERAL" hidden="1">"c20895"</definedName>
    <definedName name="IQ_NOM_GOVT_CONSUM_INVEST_NONDEF" hidden="1">"c20896"</definedName>
    <definedName name="IQ_NOM_GOVT_CONSUM_INVEST_NONDEF_CONSUM" hidden="1">"c20897"</definedName>
    <definedName name="IQ_NOM_GOVT_CONSUM_INVEST_NONDEF_INVEST" hidden="1">"c20898"</definedName>
    <definedName name="IQ_NOM_GOVT_CONSUM_INVEST_STATE_LOCAL" hidden="1">"c20899"</definedName>
    <definedName name="IQ_NOM_GOVT_CONSUM_INVEST_STATE_LOCAL_CONSUM" hidden="1">"c20900"</definedName>
    <definedName name="IQ_NOM_GOVT_CONSUM_INVEST_STATE_LOCAL_INVEST" hidden="1">"c20901"</definedName>
    <definedName name="IQ_NOM_IMPORT" hidden="1">"c20902"</definedName>
    <definedName name="IQ_NOM_IMPORT_GOODS" hidden="1">"c20903"</definedName>
    <definedName name="IQ_NOM_IMPORT_INCOME" hidden="1">"c20904"</definedName>
    <definedName name="IQ_NOM_IMPORT_SERVICES" hidden="1">"c20905"</definedName>
    <definedName name="IQ_NOM_NET_DOMESTIC_PRODUCTION" hidden="1">"c20906"</definedName>
    <definedName name="IQ_NOM_NET_EXPORT" hidden="1">"c20907"</definedName>
    <definedName name="IQ_NOM_PCE" hidden="1">"c20908"</definedName>
    <definedName name="IQ_NOM_PCE_CLOTHING" hidden="1">"c20909"</definedName>
    <definedName name="IQ_NOM_PCE_DUR_GOODS" hidden="1">"c20910"</definedName>
    <definedName name="IQ_NOM_PCE_DUR_GOODS_OTHER" hidden="1">"c20911"</definedName>
    <definedName name="IQ_NOM_PCE_FINANCIAL" hidden="1">"c20912"</definedName>
    <definedName name="IQ_NOM_PCE_FOOD_ACCOMADATIONS" hidden="1">"c20913"</definedName>
    <definedName name="IQ_NOM_PCE_FOOD_BEVERAGE" hidden="1">"c20914"</definedName>
    <definedName name="IQ_NOM_PCE_FURNISHINGS" hidden="1">"c20915"</definedName>
    <definedName name="IQ_NOM_PCE_GAS" hidden="1">"c20916"</definedName>
    <definedName name="IQ_NOM_PCE_GOOD" hidden="1">"c20917"</definedName>
    <definedName name="IQ_NOM_PCE_HEALTH_CARE" hidden="1">"c20918"</definedName>
    <definedName name="IQ_NOM_PCE_HOUSEHOLD_CONSUM" hidden="1">"c20919"</definedName>
    <definedName name="IQ_NOM_PCE_HOUSEHOLD_CONSUM_OTHER" hidden="1">"c20920"</definedName>
    <definedName name="IQ_NOM_PCE_HOUSING" hidden="1">"c20921"</definedName>
    <definedName name="IQ_NOM_PCE_MOTOR_VEHICLE" hidden="1">"c20922"</definedName>
    <definedName name="IQ_NOM_PCE_NONDUR_GOODS" hidden="1">"c20923"</definedName>
    <definedName name="IQ_NOM_PCE_NONDUR_GOODS_OTHER" hidden="1">"c20924"</definedName>
    <definedName name="IQ_NOM_PCE_NONPROFIT_CONSUM" hidden="1">"c20925"</definedName>
    <definedName name="IQ_NOM_PCE_NONPROFIT_OUTPUT" hidden="1">"c20926"</definedName>
    <definedName name="IQ_NOM_PCE_NONPROFIT_RECEIPTS" hidden="1">"c20927"</definedName>
    <definedName name="IQ_NOM_PCE_RECREATION_GOODS" hidden="1">"c20928"</definedName>
    <definedName name="IQ_NOM_PCE_RECREATION_SERVICES" hidden="1">"c20929"</definedName>
    <definedName name="IQ_NOM_PCE_SERVICES" hidden="1">"c20930"</definedName>
    <definedName name="IQ_NOM_PCE_TRANSPORTATION" hidden="1">"c20931"</definedName>
    <definedName name="IQ_NOM_PRIVATE_INVEST" hidden="1">"c20932"</definedName>
    <definedName name="IQ_NOM_PRIVATE_INVEST_EQUIP" hidden="1">"c20933"</definedName>
    <definedName name="IQ_NOM_PRIVATE_INVEST_EQUIP_OTHER" hidden="1">"c20934"</definedName>
    <definedName name="IQ_NOM_PRIVATE_INVEST_FIXED" hidden="1">"c20935"</definedName>
    <definedName name="IQ_NOM_PRIVATE_INVEST_INDUSTRIAL_EQUIP" hidden="1">"c20936"</definedName>
    <definedName name="IQ_NOM_PRIVATE_INVEST_INFO_EQUIP" hidden="1">"c20937"</definedName>
    <definedName name="IQ_NOM_PRIVATE_INVEST_INFO_EQUIP_COMPUTERS" hidden="1">"c20938"</definedName>
    <definedName name="IQ_NOM_PRIVATE_INVEST_INFO_EQUIP_OTHER" hidden="1">"c20939"</definedName>
    <definedName name="IQ_NOM_PRIVATE_INVEST_INFO_EQUIP_SOFTWARE" hidden="1">"c20940"</definedName>
    <definedName name="IQ_NOM_PRIVATE_INVEST_NONRES" hidden="1">"c20941"</definedName>
    <definedName name="IQ_NOM_PRIVATE_INVEST_PRIVATE_INV_CHANGE" hidden="1">"c20942"</definedName>
    <definedName name="IQ_NOM_PRIVATE_INVEST_PRIVATE_INV_FARMS" hidden="1">"c20943"</definedName>
    <definedName name="IQ_NOM_PRIVATE_INVEST_PRIVATE_INV_NONFARMS" hidden="1">"c20944"</definedName>
    <definedName name="IQ_NOM_PRIVATE_INVEST_RES" hidden="1">"c20945"</definedName>
    <definedName name="IQ_NOM_PRIVATE_INVEST_STRUCTURES" hidden="1">"c20946"</definedName>
    <definedName name="IQ_NOM_PRIVATE_INVEST_TRANSPORTATION_EQUIP" hidden="1">"c20947"</definedName>
    <definedName name="IQ_NOM_SALES_TO_DOMESTIC_PURCHASES" hidden="1">"c20948"</definedName>
    <definedName name="IQ_NOMINAL_GDP" hidden="1">"c20949"</definedName>
    <definedName name="IQ_NOMINAL_GDP_FC" hidden="1">"c20950"</definedName>
    <definedName name="IQ_NOMINAL_GDP_PER_CAPITA" hidden="1">"c20951"</definedName>
    <definedName name="IQ_NOMINAL_GDP_PER_CAPITA_FC" hidden="1">"c20952"</definedName>
    <definedName name="IQ_NON_INT_BEARING_DEMAND_DEPOSITS_THRIFT" hidden="1">"c25007"</definedName>
    <definedName name="IQ_NON_INT_EXP_AFTER_PROVISION_THRIFT" hidden="1">"c25872"</definedName>
    <definedName name="IQ_NON_INT_EXP_AVG_ASSETS_THRIFT" hidden="1">"c25784"</definedName>
    <definedName name="IQ_NON_INT_EXP_FDIC" hidden="1">"c6579"</definedName>
    <definedName name="IQ_NON_INT_EXP_THRIFT" hidden="1">"c24793"</definedName>
    <definedName name="IQ_NON_INT_INC_FDIC" hidden="1">"c6575"</definedName>
    <definedName name="IQ_NON_INT_INCOME_ADJUSTED_OPERATING_INCOME_THRIFT" hidden="1">"c25688"</definedName>
    <definedName name="IQ_NON_INT_INCOME_AVG_ASSETS_THRIFT" hidden="1">"c25650"</definedName>
    <definedName name="IQ_NON_INT_INCOME_THRIFT" hidden="1">"c24781"</definedName>
    <definedName name="IQ_NON_INTEREST_BEARING_DEPOSITS_ALL_OTHER_ACCOUNTS_THRIFT" hidden="1">"c25423"</definedName>
    <definedName name="IQ_NON_INTEREST_BEARING_DEPOSITS_EMPLOYEE_BENEFIT_RETIREMENT_RELATED_ACCOUNTS_THRIFT" hidden="1">"c25407"</definedName>
    <definedName name="IQ_NON_INTEREST_BEARING_DEPOSITS_PERSONAL_TRUST_AGENCY_INV_MANAGEMENT_ACCOUNTS_THRIFT" hidden="1">"c25391"</definedName>
    <definedName name="IQ_NON_MORTGAGE_AGRICULTURE_FARMERS_COMM_LOANS_100000_THROUGH_250000_THRIFT" hidden="1">"c24974"</definedName>
    <definedName name="IQ_NON_MORTGAGE_AGRICULTURE_FARMERS_COMM_LOANS_250000_THROUGH_500000_THRIFT" hidden="1">"c24976"</definedName>
    <definedName name="IQ_NON_MORTGAGE_AGRICULTURE_FARMERS_COMM_LOANS_LESS_THAN_EQUAL_100000_THRIFT" hidden="1">"c24972"</definedName>
    <definedName name="IQ_NON_MORTGAGE_LOANS_ADJUSTED_NCOS_TOTAL_TOTAL_THRIFT" hidden="1">"c25209"</definedName>
    <definedName name="IQ_NON_MORTGAGE_LOANS_GVA_CHARGE_OFFS_TOTAL_THRIFT" hidden="1">"c25124"</definedName>
    <definedName name="IQ_NON_MORTGAGE_LOANS_GVA_RECOVERIES_TOTAL_THRIFT" hidden="1">"c25155"</definedName>
    <definedName name="IQ_NON_MORTGAGE_LOANS_SVA_PROVISIONS_TRANSFERS_FROM_GVA_TOTAL_TOTAL_THRIFT" hidden="1">"c25178"</definedName>
    <definedName name="IQ_NON_MORTGAGE_NON_AGRICULTURE_COMM_LOANS_100000_THROUGH_250000_THRIFT" hidden="1">"c24961"</definedName>
    <definedName name="IQ_NON_MORTGAGE_NON_AGRICULTURE_COMM_LOANS_250000_THROUGH_1000000_THRIFT" hidden="1">"c24963"</definedName>
    <definedName name="IQ_NON_MORTGAGE_NON_AGRICULTURE_COMM_LOANS_LESS_THAN_EQUAL_100000_THRIFT" hidden="1">"c24959"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ORE_FUNDING_TOTAL_ASSETS_THRIFT" hidden="1">"c25700"</definedName>
    <definedName name="IQ_NONCUMULATIVE_PREF_THRIFT" hidden="1">"c24916"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FARM_NONRES_LOANS_GROSS_LOANS_THRIFT" hidden="1">"c25730"</definedName>
    <definedName name="IQ_NONFARM_NONRES_LOANS_RISK_BASED_CAPITAL_THRIFT" hidden="1">"c25715"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PROPERTY_CONSTRUCTION_MORTGAGE_LOANS_GVA_CHARGE_OFFS_THRIFT" hidden="1">"c25117"</definedName>
    <definedName name="IQ_NONRES_PROPERTY_CONSTRUCTION_MORTGAGE_LOANS_GVA_RECOVERIES_THRIFT" hidden="1">"c25148"</definedName>
    <definedName name="IQ_NONRES_PROPERTY_DWELLING_UNITS_CONSTRUCTION_MORTGAGE_LOANS_ADJUSTED_NCOS_TOTAL_THRIFT" hidden="1">"c25202"</definedName>
    <definedName name="IQ_NONRES_PROPERTY_DWELLING_UNITS_CONSTRUCTION_MORTGAGE_LOANS_SVA_PROVISIONS_TRANSFERS_FROM_GVA_TOTAL_THRIFT" hidden="1">"c25171"</definedName>
    <definedName name="IQ_NONRES_PROPERTY_EXCEPT_LAND_IN_PROCESS_FORECLOSURE_THRIFT" hidden="1">"c25308"</definedName>
    <definedName name="IQ_NONRES_PROPERTY_EXCEPT_LAND_PML_ADJUSTED_NCOS_TOTAL_THRIFT" hidden="1">"c25207"</definedName>
    <definedName name="IQ_NONRES_PROPERTY_EXCEPT_LAND_PML_GVA_CHARGE_OFFS_THRIFT" hidden="1">"c25122"</definedName>
    <definedName name="IQ_NONRES_PROPERTY_EXCEPT_LAND_PML_GVA_RECOVERIES_THRIFT" hidden="1">"c25153"</definedName>
    <definedName name="IQ_NONRES_PROPERTY_EXCEPT_LAND_PML_SVA_PROVISIONS_TRANSFERS_FROM_GVA_TOTAL_THRIFT" hidden="1">"c25176"</definedName>
    <definedName name="IQ_NONTRANSACTION_ACCOUNTS_FDIC" hidden="1">"c6552"</definedName>
    <definedName name="IQ_NOTES_OBLIGATIONS_FDIC_INC_COVERED_ASSETS_ELIGIBLE_0_PCT_RISK_WEIGHT_THRIFT" hidden="1">"c25053"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_ACCOUNTS_EXCLUDING_RETIREMENT_ACCOUNTS_GREATER_THAN_250000_THRIFT" hidden="1">"c24989"</definedName>
    <definedName name="IQ_NUMBER_DEPOSIT_ACCOUNTS_EXCLUDING_RETIREMENT_ACCOUNTS_LESS_THAN_250000_THRIFT" hidden="1">"c24988"</definedName>
    <definedName name="IQ_NUMBER_DEPOSIT_ACCOUNTS_THRIFT" hidden="1">"c24987"</definedName>
    <definedName name="IQ_NUMBER_DEPOSITS_LESS_THAN_100K_FDIC" hidden="1">"c6495"</definedName>
    <definedName name="IQ_NUMBER_DEPOSITS_MORE_THAN_100K_FDIC" hidden="1">"c6493"</definedName>
    <definedName name="IQ_NUMBER_FIDUCIARY_MANAGED_ACCOUNTS_THRIFT" hidden="1">"c25439"</definedName>
    <definedName name="IQ_NUMBER_FTE_EMPLOYEES_THRIFT" hidden="1">"c24929"</definedName>
    <definedName name="IQ_NUMBER_ISSUES_IN_DEFAULT_THRIFT" hidden="1">"c25443"</definedName>
    <definedName name="IQ_NUMBER_LOANS_SECURED_FARM_100000_THROUGH_250000_THRIFT" hidden="1">"c24969"</definedName>
    <definedName name="IQ_NUMBER_LOANS_SECURED_FARM_250000_THROUGH_500000_THRIFT" hidden="1">"c24971"</definedName>
    <definedName name="IQ_NUMBER_LOANS_SECURED_FARM_LESS_THAN_EQUAL_100000_THRIFT" hidden="1">"c24967"</definedName>
    <definedName name="IQ_NUMBER_MORTGAGE_LOANS_SECURED_NON_RES_PROPERTY_100000_THROUGH_250000_THRIFT" hidden="1">"c24955"</definedName>
    <definedName name="IQ_NUMBER_MORTGAGE_LOANS_SECURED_NON_RES_PROPERTY_250000_THROUGH_1000000_THRIFT" hidden="1">"c24957"</definedName>
    <definedName name="IQ_NUMBER_MORTGAGE_LOANS_SECURED_NON_RES_PROPERTY_LESS_THAN_EQUAL_100000_THRIFT" hidden="1">"c24953"</definedName>
    <definedName name="IQ_NUMBER_MORTGAGE_LOANS_SECURED_NON_RES_PROPERTY_THRIFT" hidden="1">"c24958"</definedName>
    <definedName name="IQ_NUMBER_NON_MORTGAGE_AGRICULTURE_FARMERS_COMM_LOANS_100000_THROUGH_250000_THRIFT" hidden="1">"c24975"</definedName>
    <definedName name="IQ_NUMBER_NON_MORTGAGE_AGRICULTURE_FARMERS_COMM_LOANS_250000_THROUGH_500000_THRIFT" hidden="1">"c24977"</definedName>
    <definedName name="IQ_NUMBER_NON_MORTGAGE_AGRICULTURE_FARMERS_COMM_LOANS_LESS_THAN_EQUAL_100000_THRIFT" hidden="1">"c24973"</definedName>
    <definedName name="IQ_NUMBER_NON_MORTGAGE_LOANS_EXCEPT_CREDIT_CARD_LOANS_THRIFT" hidden="1">"c24965"</definedName>
    <definedName name="IQ_NUMBER_NON_MORTGAGE_NON_AGRICULTURE_COMM_LOANS_100000_THROUGH_250000_THRIFT" hidden="1">"c24962"</definedName>
    <definedName name="IQ_NUMBER_NON_MORTGAGE_NON_AGRICULTURE_COMM_LOANS_250000_THROUGH_1000000_THRIFT" hidden="1">"c24964"</definedName>
    <definedName name="IQ_NUMBER_NON_MORTGAGE_NON_AGRICULTURE_COMM_LOANS_LESS_THAN_EQUAL_100000_THRIFT" hidden="1">"c24960"</definedName>
    <definedName name="IQ_NUMBER_NONINTEREST_BEARING_TRANSACTION_ACCOUNTS_MORE_THAN_250000_THRIFT" hidden="1">"c25583"</definedName>
    <definedName name="IQ_NUMBER_RETIREMENT_DEPOSIT_ACCOUNTS_GREATER_THAN_250000_THRIFT" hidden="1">"c24993"</definedName>
    <definedName name="IQ_NUMBER_RETIREMENT_DEPOSIT_ACCOUNTS_LESS_THAN_250000_THRIFT" hidden="1">"c24992"</definedName>
    <definedName name="IQ_NUMBER_TRADES_EXECUTED" hidden="1">"c20428"</definedName>
    <definedName name="IQ_OBLIGATIONS_OF_STATES_TOTAL_LOANS_FOREIGN_FDIC" hidden="1">"c6447"</definedName>
    <definedName name="IQ_OBLIGATIONS_STATES_FDIC" hidden="1">"c6431"</definedName>
    <definedName name="IQ_OCCUPANCY_EXP_AVG_ASSETS_THRIFT" hidden="1">"c25663"</definedName>
    <definedName name="IQ_OECD_LEAD_INDICATOR" hidden="1">"c20953"</definedName>
    <definedName name="IQ_OFFICE_OCCUPANCY_EQUIP_EXP_THRIFT" hidden="1">"c24787"</definedName>
    <definedName name="IQ_OFFICE_PREMISES_EQUIPMENT_THRIFT" hidden="1">"c24882"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PEN_END_LINES_CREDIT_THRIFT" hidden="1">"c25608"</definedName>
    <definedName name="IQ_OPER_INC_CM" hidden="1">"c850"</definedName>
    <definedName name="IQ_OPT_TOTAL_AGG_INT_VALUE_EXER" hidden="1">"c18441"</definedName>
    <definedName name="IQ_OPT_TOTAL_AGG_INT_VALUE_OUT" hidden="1">"c18437"</definedName>
    <definedName name="IQ_OPT_TOTAL_NUM_EXER" hidden="1">"c18439"</definedName>
    <definedName name="IQ_OPT_TOTAL_NUM_OUT" hidden="1">"c18435"</definedName>
    <definedName name="IQ_OPT_TOTAL_PLAN_NAME" hidden="1">"c18467"</definedName>
    <definedName name="IQ_OPT_TOTAL_PRICE_HIGH" hidden="1">"c18432"</definedName>
    <definedName name="IQ_OPT_TOTAL_PRICE_LOW" hidden="1">"c18431"</definedName>
    <definedName name="IQ_OPT_TOTAL_PRICE_RANGE" hidden="1">"c18433"</definedName>
    <definedName name="IQ_OPT_TOTAL_WTD_LIFE_EXER" hidden="1">"c18440"</definedName>
    <definedName name="IQ_OPT_TOTAL_WTD_LIFE_OUT" hidden="1">"c18436"</definedName>
    <definedName name="IQ_OPT_TOTAL_WTD_PRICE_EXER" hidden="1">"c18438"</definedName>
    <definedName name="IQ_OPT_TOTAL_WTD_PRICE_OUT" hidden="1">"c18434"</definedName>
    <definedName name="IQ_OPT_TRANCHE_AGG_INT_VALUE_EXER" hidden="1">"c18430"</definedName>
    <definedName name="IQ_OPT_TRANCHE_AGG_INT_VALUE_OUT" hidden="1">"c18426"</definedName>
    <definedName name="IQ_OPT_TRANCHE_CLASS_NAME" hidden="1">"c18419"</definedName>
    <definedName name="IQ_OPT_TRANCHE_NUM_EXER" hidden="1">"c18428"</definedName>
    <definedName name="IQ_OPT_TRANCHE_NUM_OUT" hidden="1">"c18424"</definedName>
    <definedName name="IQ_OPT_TRANCHE_PLAN_NAME" hidden="1">"c18418"</definedName>
    <definedName name="IQ_OPT_TRANCHE_PLAN_RANK" hidden="1">"c18466"</definedName>
    <definedName name="IQ_OPT_TRANCHE_PRICE_HIGH" hidden="1">"c18421"</definedName>
    <definedName name="IQ_OPT_TRANCHE_PRICE_LOW" hidden="1">"c18420"</definedName>
    <definedName name="IQ_OPT_TRANCHE_PRICE_RANGE" hidden="1">"c18422"</definedName>
    <definedName name="IQ_OPT_TRANCHE_WTD_LIFE_EXER" hidden="1">"c18429"</definedName>
    <definedName name="IQ_OPT_TRANCHE_WTD_LIFE_OUT" hidden="1">"c18425"</definedName>
    <definedName name="IQ_OPT_TRANCHE_WTD_PRICE_EXER" hidden="1">"c18427"</definedName>
    <definedName name="IQ_OPT_TRANCHE_WTD_PRICE_OUT" hidden="1">"c18423"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RGANIC_GROWTH_RATE" hidden="1">"c20429"</definedName>
    <definedName name="IQ_OTHER_ACCRUED_INT_PAYABLE_THRIFT" hidden="1">"c24908"</definedName>
    <definedName name="IQ_OTHER_ADDITIONS_ADJUSTED_ASSETS_THRIFT" hidden="1">"c25037"</definedName>
    <definedName name="IQ_OTHER_ADDITIONS_T1_THRIFT" hidden="1">"c25028"</definedName>
    <definedName name="IQ_OTHER_ADDITIONS_T2_THRIFT" hidden="1">"c25044"</definedName>
    <definedName name="IQ_OTHER_ADJUSTMENTS_SAVINGS_ASSOCIATION_THRIFT" hidden="1">"c25018"</definedName>
    <definedName name="IQ_OTHER_AMORT_CM" hidden="1">"c5566"</definedName>
    <definedName name="IQ_OTHER_AOCI_THRIFT" hidden="1">"c24923"</definedName>
    <definedName name="IQ_OTHER_ASSETS_ADJUSTED_NCOS_TOTAL_THRIFT" hidden="1">"c25227"</definedName>
    <definedName name="IQ_OTHER_ASSETS_CM" hidden="1">"c862"</definedName>
    <definedName name="IQ_OTHER_ASSETS_FDIC" hidden="1">"c6338"</definedName>
    <definedName name="IQ_OTHER_ASSETS_GVA_CHARGE_OFFS_THRIFT" hidden="1">"c25142"</definedName>
    <definedName name="IQ_OTHER_ASSETS_GVA_RECOVERIES_THRIFT" hidden="1">"c25165"</definedName>
    <definedName name="IQ_OTHER_ASSETS_GVA_THRIFT" hidden="1">"c24893"</definedName>
    <definedName name="IQ_OTHER_ASSETS_SVA_PROVISIONS_TRANSFERS_FROM_GVA_TOTAL_THRIFT" hidden="1">"c25196"</definedName>
    <definedName name="IQ_OTHER_ASSETS_THRIFT" hidden="1">"c24892"</definedName>
    <definedName name="IQ_OTHER_BALANCE_CHANGES_OTHER_MORTGAGE_BACKED_SEC_THRIFT" hidden="1">"c25316"</definedName>
    <definedName name="IQ_OTHER_BALANCE_CHANGES_PASS_THROUGH_MORTGAGE_BACKED_SEC_THRIFT" hidden="1">"c25313"</definedName>
    <definedName name="IQ_OTHER_BANK_OWNED_LIFE_INSURANCE_THRIFT" hidden="1">"c24886"</definedName>
    <definedName name="IQ_OTHER_BORROWED_FUNDS_FDIC" hidden="1">"c6345"</definedName>
    <definedName name="IQ_OTHER_BORROWINGS_AMOUNTS_NETTED_THRIFT" hidden="1">"c25546"</definedName>
    <definedName name="IQ_OTHER_BORROWINGS_LESS_THAN_1_YR_TOTAL_ASSETS_THRIFT" hidden="1">"c25705"</definedName>
    <definedName name="IQ_OTHER_BORROWINGS_LEVEL_1_THRIFT" hidden="1">"c25542"</definedName>
    <definedName name="IQ_OTHER_BORROWINGS_LEVEL_2_THRIFT" hidden="1">"c25543"</definedName>
    <definedName name="IQ_OTHER_BORROWINGS_LEVEL_3_THRIFT" hidden="1">"c25544"</definedName>
    <definedName name="IQ_OTHER_BORROWINGS_THRIFT" hidden="1">"c24904"</definedName>
    <definedName name="IQ_OTHER_BORROWINGS_TOTAL_AFTER_NETTING_THRIFT" hidden="1">"c25547"</definedName>
    <definedName name="IQ_OTHER_BORROWINGS_TOTAL_BEFORE_NETTING_THRIFT" hidden="1">"c25545"</definedName>
    <definedName name="IQ_OTHER_BROKERED_TIME_DEPOSITS_THRIFT" hidden="1">"c25006"</definedName>
    <definedName name="IQ_OTHER_CA_SUPPL_CM" hidden="1">"c871"</definedName>
    <definedName name="IQ_OTHER_CL_SUPPL_CM" hidden="1">"c880"</definedName>
    <definedName name="IQ_OTHER_COMMON_PREFERRED_STOCKS_ALL_OTHER_ACCOUNTS_THRIFT" hidden="1">"c25434"</definedName>
    <definedName name="IQ_OTHER_COMMON_PREFERRED_STOCKS_EMPLOYEE_BENEFIT_RETIREMENT_RELATED_ACCOUNTS_THRIFT" hidden="1">"c25418"</definedName>
    <definedName name="IQ_OTHER_COMMON_PREFERRED_STOCKS_PERSONAL_TRUST_AGENCY_INV_MANAGEMENT_ACCOUNTS_THRIFT" hidden="1">"c25402"</definedName>
    <definedName name="IQ_OTHER_COMPREHENSIVE_INCOME_FDIC" hidden="1">"c6503"</definedName>
    <definedName name="IQ_OTHER_COMPREHENSIVE_INCOME_SAVINGS_ASSOCIATION_THRIFT" hidden="1">"c25016"</definedName>
    <definedName name="IQ_OTHER_CONSTRUCTION_LOANS_GROSS_LOANS_THRIFT" hidden="1">"c25728"</definedName>
    <definedName name="IQ_OTHER_CONSTRUCTION_LOANS_RISK_BASED_CAPITAL_THRIFT" hidden="1">"c25713"</definedName>
    <definedName name="IQ_OTHER_CONSUMER_INC_LEASE_RECEIVABLES_THRIFT" hidden="1">"c24865"</definedName>
    <definedName name="IQ_OTHER_CONTINGENT_LIABILITIES_THRIFT" hidden="1">"c25621"</definedName>
    <definedName name="IQ_OTHER_CREDIT_CARD_LINES_UNUSED_FFIEC" hidden="1">"c25863"</definedName>
    <definedName name="IQ_OTHER_DEBT_SEC_DOM_AFS_AMORT_COST_FFIEC" hidden="1">"c20503"</definedName>
    <definedName name="IQ_OTHER_DEBT_SEC_DOM_AFS_FAIR_VAL_FFIEC" hidden="1">"c20468"</definedName>
    <definedName name="IQ_OTHER_DEBT_SEC_FOREIGN_AFS_AMORT_COST_FFIEC" hidden="1">"c20504"</definedName>
    <definedName name="IQ_OTHER_DEBT_SEC_FOREIGN_AFS_FAIR_VAL_FFIEC" hidden="1">"c20469"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HTM_AMORT_COST_FFIEC" hidden="1">"c20452"</definedName>
    <definedName name="IQ_OTHER_DEBT_SECURITIES_FOREIGN_HTM_FAIR_VAL_FFIEC" hidden="1">"c20487"</definedName>
    <definedName name="IQ_OTHER_DEDUCTIONS_ADJUSTED_ASSETS_THRIFT" hidden="1">"c25034"</definedName>
    <definedName name="IQ_OTHER_DEDUCTIONS_T1_THRIFT" hidden="1">"c25025"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LIGIBLE_0_PCT_RISK_WEIGHT_THRIFT" hidden="1">"c25054"</definedName>
    <definedName name="IQ_OTHER_ELIGIBLE_20_PCT_RISK_WEIGHT_THRIFT" hidden="1">"c25061"</definedName>
    <definedName name="IQ_OTHER_ELIGIBLE_50_PCT_RISK_WEIGHT_THRIFT" hidden="1">"c25068"</definedName>
    <definedName name="IQ_OTHER_EQUITY_CAPITAL_COMPONENTS_THRIFT" hidden="1">"c24924"</definedName>
    <definedName name="IQ_OTHER_EQUITY_CM" hidden="1">"c888"</definedName>
    <definedName name="IQ_OTHER_EQUITY_INSTRUMENTS_T2_THRIFT" hidden="1">"c25042"</definedName>
    <definedName name="IQ_OTHER_EQUITY_INV_NOT_CARRIED_FV_THRIFT" hidden="1">"c24881"</definedName>
    <definedName name="IQ_OTHER_FEES_CHARGES_THRIFT" hidden="1">"c24768"</definedName>
    <definedName name="IQ_OTHER_FIDUCIARY_ACCOUNTS_INC_THRIFT" hidden="1">"c24808"</definedName>
    <definedName name="IQ_OTHER_FIDUCIARY_ACCOUNTS_MANAGED_ASSETS_THRIFT" hidden="1">"c25355"</definedName>
    <definedName name="IQ_OTHER_FIDUCIARY_ACCOUNTS_NONMANAGED_ASSETS_THRIFT" hidden="1">"c25376"</definedName>
    <definedName name="IQ_OTHER_FIDUCIARY_ACCOUNTS_NUMBER_MANAGED_ACCOUNTS_THRIFT" hidden="1">"c25366"</definedName>
    <definedName name="IQ_OTHER_FIDUCIARY_ACCOUNTS_NUMBER_NONMANAGED_ACCOUNTS_THRIFT" hidden="1">"c25388"</definedName>
    <definedName name="IQ_OTHER_FIDUCIARY_ACCOUNTS_RELATED_SERVICES_GROSS_LOSSES_MANAGED_ACCOUNTS_THRIFT" hidden="1">"c25464"</definedName>
    <definedName name="IQ_OTHER_FIDUCIARY_ACCOUNTS_RELATED_SERVICES_GROSS_LOSSES_NONMANAGED_ACCOUNTS_THRIFT" hidden="1">"c25469"</definedName>
    <definedName name="IQ_OTHER_FIDUCIARY_ACCOUNTS_RELATED_SERVICES_RECOVERIES_THRIFT" hidden="1">"c25474"</definedName>
    <definedName name="IQ_OTHER_FIDUCIARY_RELATED_SERVICES_INC_THRIFT" hidden="1">"c24810"</definedName>
    <definedName name="IQ_OTHER_FINANCE_ACT_CM" hidden="1">"c895"</definedName>
    <definedName name="IQ_OTHER_FINANCE_ACT_SUPPL_CM" hidden="1">"c901"</definedName>
    <definedName name="IQ_OTHER_INSURANCE_FEES_FDIC" hidden="1">"c6672"</definedName>
    <definedName name="IQ_OTHER_INT_EARNING_DEPOSITS_THRIFT" hidden="1">"c24820"</definedName>
    <definedName name="IQ_OTHER_INTAN_CM" hidden="1">"c909"</definedName>
    <definedName name="IQ_OTHER_INTANGIBLE_FDIC" hidden="1">"c6337"</definedName>
    <definedName name="IQ_OTHER_INV_SEC_INV_SEC_THRIFT" hidden="1">"c25675"</definedName>
    <definedName name="IQ_OTHER_INV_SEC_THRIFT" hidden="1">"c24826"</definedName>
    <definedName name="IQ_OTHER_INVEST_ACT_CM" hidden="1">"c918"</definedName>
    <definedName name="IQ_OTHER_INVEST_ACT_SUPPL_CM" hidden="1">"c924"</definedName>
    <definedName name="IQ_OTHER_LIAB_CM" hidden="1">"c932"</definedName>
    <definedName name="IQ_OTHER_LIAB_LT_CM" hidden="1">"c937"</definedName>
    <definedName name="IQ_OTHER_LIABILITIES_DEFERRED_INCOME_THRIFT" hidden="1">"c24912"</definedName>
    <definedName name="IQ_OTHER_LIABILITIES_FDIC" hidden="1">"c6347"</definedName>
    <definedName name="IQ_OTHER_LIABILITIES_THRIFT" hidden="1">"c24905"</definedName>
    <definedName name="IQ_OTHER_LINES_CREDIT_THRIFT" hidden="1">"c25611"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LEASES_GROSS_LOANS_THRIFT" hidden="1">"c25735"</definedName>
    <definedName name="IQ_OTHER_LOANS_LEASES_RISK_BASED_CAPITAL_THRIFT" hidden="1">"c25720"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CM" hidden="1">"c948"</definedName>
    <definedName name="IQ_OTHER_MBS_AFS_AMORT_COST_FFIEC" hidden="1">"c20498"</definedName>
    <definedName name="IQ_OTHER_MBS_AFS_FAIR_VAL_FFIEC" hidden="1">"c20463"</definedName>
    <definedName name="IQ_OTHER_MBS_EXCLUDING_BONDS_THRIFT" hidden="1">"c24832"</definedName>
    <definedName name="IQ_OTHER_MBS_HTM_AMORT_COST_FFIEC" hidden="1">"c20446"</definedName>
    <definedName name="IQ_OTHER_MBS_HTM_FAIR_VAL_FFIEC" hidden="1">"c20481"</definedName>
    <definedName name="IQ_OTHER_MBS_THRIFT" hidden="1">"c24835"</definedName>
    <definedName name="IQ_OTHER_NO_NINT_INCOME_THRIFT" hidden="1">"c24780"</definedName>
    <definedName name="IQ_OTHER_NON_INT_EXP_FDIC" hidden="1">"c6578"</definedName>
    <definedName name="IQ_OTHER_NON_INT_EXP_THRIFT" hidden="1">"c24792"</definedName>
    <definedName name="IQ_OTHER_NON_INT_EXPENSE_FDIC" hidden="1">"c6679"</definedName>
    <definedName name="IQ_OTHER_NON_INT_INC_FDIC" hidden="1">"c6676"</definedName>
    <definedName name="IQ_OTHER_NON_INT_INCOME_ADJUSTED_OPERATING_INCOME_THRIFT" hidden="1">"c25691"</definedName>
    <definedName name="IQ_OTHER_NON_OPER_EXP_CM" hidden="1">"c957"</definedName>
    <definedName name="IQ_OTHER_NON_OPER_EXP_SUPPL_CM" hidden="1">"c962"</definedName>
    <definedName name="IQ_OTHER_NOTES_BONDS_ALL_OTHER_ACCOUNTS_THRIFT" hidden="1">"c25432"</definedName>
    <definedName name="IQ_OTHER_NOTES_BONDS_EMPLOYEE_BENEFIT_RETIREMENT_RELATED_ACCOUNTS_THRIFT" hidden="1">"c25416"</definedName>
    <definedName name="IQ_OTHER_NOTES_BONDS_PERSONAL_TRUST_AGENCY_INV_MANAGEMENT_ACCOUNTS_THRIFT" hidden="1">"c25400"</definedName>
    <definedName name="IQ_OTHER_OFF_BS_LIAB_FDIC" hidden="1">"c6533"</definedName>
    <definedName name="IQ_OTHER_OPER_ACT_CM" hidden="1">"c985"</definedName>
    <definedName name="IQ_OTHER_OPER_CM" hidden="1">"c990"</definedName>
    <definedName name="IQ_OTHER_OPER_SUPPL_CM" hidden="1">"c994"</definedName>
    <definedName name="IQ_OTHER_OPER_TOT_CM" hidden="1">"c1000"</definedName>
    <definedName name="IQ_OTHER_OPERATING_EXPENSES_ADJUSTED_OPERATING_INCOME_THRIFT" hidden="1">"c25687"</definedName>
    <definedName name="IQ_OTHER_OPERATING_EXPENSES_AVG_ASSETS_THRIFT" hidden="1">"c25664"</definedName>
    <definedName name="IQ_OTHER_PASS_THROUGH_THRIFT" hidden="1">"c24831"</definedName>
    <definedName name="IQ_OTHER_PML_SECURED_FIRST_LIEN_1_4_DWELLING_UNITS_DUE_30_89_THRIFT" hidden="1">"c25242"</definedName>
    <definedName name="IQ_OTHER_PML_SECURED_FIRST_LIEN_1_4_DWELLING_UNITS_DUE_90_THRIFT" hidden="1">"c25263"</definedName>
    <definedName name="IQ_OTHER_PML_SECURED_FIRST_LIEN_1_4_DWELLING_UNITS_NON_ACCRUAL_THRIFT" hidden="1">"c25284"</definedName>
    <definedName name="IQ_OTHER_PML_SECURED_JUNIOR_LIEN_1_4_DWELLING_UNITS_DUE_30_89_THRIFT" hidden="1">"c25243"</definedName>
    <definedName name="IQ_OTHER_PML_SECURED_JUNIOR_LIEN_1_4_DWELLING_UNITS_DUE_90_THRIFT" hidden="1">"c25264"</definedName>
    <definedName name="IQ_OTHER_PML_SECURED_JUNIOR_LIEN_1_4_DWELLING_UNITS_NON_ACCRUAL_THRIFT" hidden="1">"c25285"</definedName>
    <definedName name="IQ_OTHER_RE_OWNED_FDIC" hidden="1">"c6330"</definedName>
    <definedName name="IQ_OTHER_RENTAL" hidden="1">"c26971"</definedName>
    <definedName name="IQ_OTHER_REPOSSESSED_ASSETS_ADJUSTED_NCOS_TOTAL_THRIFT" hidden="1">"c25224"</definedName>
    <definedName name="IQ_OTHER_REPOSSESSED_ASSETS_GVA_CHARGE_OFFS_THRIFT" hidden="1">"c25139"</definedName>
    <definedName name="IQ_OTHER_REPOSSESSED_ASSETS_SVA_PROVISIONS_TRANSFERS_FROM_GVA_TOTAL_THRIFT" hidden="1">"c25193"</definedName>
    <definedName name="IQ_OTHER_RESIDUAL_INTERESTS_THRIFT" hidden="1">"c24940"</definedName>
    <definedName name="IQ_OTHER_REV_CM" hidden="1">"c1011"</definedName>
    <definedName name="IQ_OTHER_REV_SUPPL_CM" hidden="1">"c1016"</definedName>
    <definedName name="IQ_OTHER_SAVINGS_DEPOSITS_FDIC" hidden="1">"c6554"</definedName>
    <definedName name="IQ_OTHER_SERVICE_CHARGES_COMM_FEE_DOM_FFIEC" hidden="1">"c25822"</definedName>
    <definedName name="IQ_OTHER_SHORT_TERM_OBLIGATIONS_ALL_OTHER_ACCOUNTS_THRIFT" hidden="1">"c25431"</definedName>
    <definedName name="IQ_OTHER_SHORT_TERM_OBLIGATIONS_EMPLOYEE_BENEFIT_RETIREMENT_RELATED_ACCOUNTS_THRIFT" hidden="1">"c25415"</definedName>
    <definedName name="IQ_OTHER_SHORT_TERM_OBLIGATIONS_PERSONAL_TRUST_AGENCY_INV_MANAGEMENT_ACCOUNTS_THRIFT" hidden="1">"c25399"</definedName>
    <definedName name="IQ_OTHER_TEMP_IMPAIR_LOSS_HTM_AFS_FFIEC" hidden="1">"c25845"</definedName>
    <definedName name="IQ_OTHER_TIME_DEPOSITS_THRIFT" hidden="1">"c25569"</definedName>
    <definedName name="IQ_OTHER_TRANSACTIONS_FDIC" hidden="1">"c6504"</definedName>
    <definedName name="IQ_OTHER_UNUSED_COMMITMENTS_FDIC" hidden="1">"c6530"</definedName>
    <definedName name="IQ_OTHER_UNUSUAL_CM" hidden="1">"c1561"</definedName>
    <definedName name="IQ_OTHER_UNUSUAL_SUPPL_CM" hidden="1">"c1496"</definedName>
    <definedName name="IQ_OUTSTANDING_BALANCE_CONTRACTUAL_PURCHASED_CREDIT_IMPAIRED_LOANS_THRIFT" hidden="1">"c25237"</definedName>
    <definedName name="IQ_OUTSTANDING_CHECKS_DRAWN_AGAINST_FHLBS_FEDERAL_RESERVE_BANKS_THRIFT" hidden="1">"c25571"</definedName>
    <definedName name="IQ_OUTSTANDING_COMMITMENTS_LOANS_CLOSED_LOANS_IN_PROCESS_MORTGAGE_CONSTRUCTION_LOANS_THRIFT" hidden="1">"c25591"</definedName>
    <definedName name="IQ_OUTSTANDING_COMMITMENTS_LOANS_CLOSED_LOANS_IN_PROCESS_NON_MORTGAGE_LOANS_THRIFT" hidden="1">"c25593"</definedName>
    <definedName name="IQ_OUTSTANDING_COMMITMENTS_LOANS_CLOSED_LOANS_IN_PROCESS_OTHER_MORTGAGE_LOANS_THRIFT" hidden="1">"c25592"</definedName>
    <definedName name="IQ_OUTSTANDING_COMMITMENTS_ORIGINATE_MORTGAGE_LOANS_SECURED_1_4_DWELLING_UNITS_THRIFT" hidden="1">"c25595"</definedName>
    <definedName name="IQ_OUTSTANDING_COMMITMENTS_ORIGINATE_MORTGAGE_LOANS_SECURED_ALL_OTHER_RE_THRIFT" hidden="1">"c25597"</definedName>
    <definedName name="IQ_OUTSTANDING_COMMITMENTS_ORIGINATE_MORTGAGE_LOANS_SECURED_MULTIFAMILY_5_MORE_DWELLING_UNITS_THRIFT" hidden="1">"c25596"</definedName>
    <definedName name="IQ_OUTSTANDING_COMMITMENTS_ORIGINATE_MORTGAGE_LOANS_SECURED_RE_THRIFT" hidden="1">"c25594"</definedName>
    <definedName name="IQ_OUTSTANDING_COMMITMENTS_ORIGINATE_NON_MORTGAGE_LOANS_THRIFT" hidden="1">"c25598"</definedName>
    <definedName name="IQ_OUTSTANDING_COMMITMENTS_PURCHASE_INV_SEC_THRIFT" hidden="1">"c25603"</definedName>
    <definedName name="IQ_OUTSTANDING_COMMITMENTS_PURCHASE_LOANS_THRIFT" hidden="1">"c25599"</definedName>
    <definedName name="IQ_OUTSTANDING_COMMITMENTS_PURCHASE_MORTGAGE_BACKED_SEC_THRIFT" hidden="1">"c25601"</definedName>
    <definedName name="IQ_OUTSTANDING_COMMITMENTS_SELL_INV_SEC_THRIFT" hidden="1">"c25604"</definedName>
    <definedName name="IQ_OUTSTANDING_COMMITMENTS_SELL_LOANS_THRIFT" hidden="1">"c25600"</definedName>
    <definedName name="IQ_OUTSTANDING_COMMITMENTS_SELL_MORTGAGE_BACKED_SEC_THRIFT" hidden="1">"c25602"</definedName>
    <definedName name="IQ_OUTSTANDING_COMMITMENTS_UNDISBURSED_BALANCE_LOANS_CLOSED_THRIFT" hidden="1">"c25590"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DJUSTED_OPERATING_INCOME_THRIFT" hidden="1">"c25684"</definedName>
    <definedName name="IQ_OVERHEAD_EXP_AVG_ASSETS_THRIFT" hidden="1">"c25652"</definedName>
    <definedName name="IQ_OVERHEAD_EXP_REVENUES_THRIFT" hidden="1">"c25683"</definedName>
    <definedName name="IQ_OVERHEAD_LESS_NON_INT_INCOME_ADJUSTED_OPERATING_INCOME_THRIFT" hidden="1">"c25692"</definedName>
    <definedName name="IQ_OVERHEAD_LESS_NON_INT_INCOME_AVG_ASSETS_THRIFT" hidden="1">"c25665"</definedName>
    <definedName name="IQ_PARTICIPATION_POOLS_RESIDENTIAL_MORTGAGES_FDIC" hidden="1">"c6403"</definedName>
    <definedName name="IQ_PASS_THROUGH_MBS_THRIFT" hidden="1">"c24829"</definedName>
    <definedName name="IQ_PASSBOOK_ACCOUNTS_INC_NONDEMAND_ESCROWS_THRIFT" hidden="1">"c25000"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LOANS_GROSS_LOANS_THRIFT" hidden="1">"c25737"</definedName>
    <definedName name="IQ_PERCENT_ASSETS_TEST_THRIFT" hidden="1">"c25587"</definedName>
    <definedName name="IQ_PERCENT_INSURED_FDIC" hidden="1">"c6374"</definedName>
    <definedName name="IQ_PERIODDATE_FDIC" hidden="1">"c13646"</definedName>
    <definedName name="IQ_PERIODDATE_THRIFT" hidden="1">"c25897"</definedName>
    <definedName name="IQ_PERMANENT_1_4_DWELLING_UNITS_ALL_OTHER_SECURED_FIRST_LIENS_THRIFT" hidden="1">"c24844"</definedName>
    <definedName name="IQ_PERMANENT_1_4_DWELLING_UNITS_ALL_OTHER_SECURED_JUNIOR_LIENS_THRIFT" hidden="1">"c24845"</definedName>
    <definedName name="IQ_PERMANENT_1_4_DWELLING_UNITS_REVOLVING_OPEN_END_LOANS_THRIFT" hidden="1">"c24843"</definedName>
    <definedName name="IQ_PERMANENT_LAND_THRIFT" hidden="1">"c24848"</definedName>
    <definedName name="IQ_PERMANENT_LOANS_SECURED_1_4_DWELLING_UNITS_FORECLOSED_DURING_QUARTER_THRIFT" hidden="1">"c25232"</definedName>
    <definedName name="IQ_PERMANENT_LOANS_SECURED_LAND_FORECLOSED_DURING_QUARTER_THRIFT" hidden="1">"c25235"</definedName>
    <definedName name="IQ_PERMANENT_LOANS_SECURED_MULTIFAMILY_5_MORE_DWELLING_UNITS_FORECLOSED_DURING_QUARTER_THRIFT" hidden="1">"c25233"</definedName>
    <definedName name="IQ_PERMANENT_LOANS_SECURED_NONRES_EXCEPT_LAND_FORECLOSED_DURING_QUARTER_THRIFT" hidden="1">"c25234"</definedName>
    <definedName name="IQ_PERMANENT_MORTGAGE_LOANS_THRIFT" hidden="1">"c24842"</definedName>
    <definedName name="IQ_PERMANENT_MULTIFAMILY_5_MORE_DWELLING_UNITS_THRIFT" hidden="1">"c24846"</definedName>
    <definedName name="IQ_PERMANENT_NONRES_PROPERTY_EXCEPT_LAND_THRIFT" hidden="1">"c24847"</definedName>
    <definedName name="IQ_PERPETUAL_PREF_STOCK_THRIFT" hidden="1">"c24914"</definedName>
    <definedName name="IQ_PERSON_INCOME" hidden="1">"c20954"</definedName>
    <definedName name="IQ_PERSONAL_CURRENT_TAXES" hidden="1">"c20956"</definedName>
    <definedName name="IQ_PERSONAL_DISPOSABLE_INCOME" hidden="1">"c20957"</definedName>
    <definedName name="IQ_PERSONAL_INCOME_ASSETS" hidden="1">"c20958"</definedName>
    <definedName name="IQ_PERSONAL_INCOME_ASSETS_DIVIDEND" hidden="1">"c20959"</definedName>
    <definedName name="IQ_PERSONAL_INCOME_ASSETS_INTEREST" hidden="1">"c20960"</definedName>
    <definedName name="IQ_PERSONAL_INCOME_CHAINED_DOLLARS" hidden="1">"c20961"</definedName>
    <definedName name="IQ_PERSONAL_INCOME_COMPENSATION" hidden="1">"c20962"</definedName>
    <definedName name="IQ_PERSONAL_INCOME_EMPLOYER_GOVT_INSURANCE_CONTRIBUTION" hidden="1">"c20963"</definedName>
    <definedName name="IQ_PERSONAL_INCOME_EMPLOYER_PENSION_CONTRIBUTION" hidden="1">"c20964"</definedName>
    <definedName name="IQ_PERSONAL_INCOME_EX_TRANSFER_RECEIPTS" hidden="1">"c20965"</definedName>
    <definedName name="IQ_PERSONAL_INCOME_GOVT_CONTRIBUTION_SOCIAL_INS" hidden="1">"c20966"</definedName>
    <definedName name="IQ_PERSONAL_INCOME_GOVT_SOCIAL_BENEFITS" hidden="1">"c20967"</definedName>
    <definedName name="IQ_PERSONAL_INCOME_GOVT_SOCIAL_BENEFITS_FAMILY" hidden="1">"c20968"</definedName>
    <definedName name="IQ_PERSONAL_INCOME_GOVT_SOCIAL_BENEFITS_OTHER" hidden="1">"c20969"</definedName>
    <definedName name="IQ_PERSONAL_INCOME_GOVT_SOCIAL_BENEFITS_UNEMPLOYMENT" hidden="1">"c20970"</definedName>
    <definedName name="IQ_PERSONAL_INCOME_GOVT_SOCIAL_BENEFITS_VETERANS" hidden="1">"c20971"</definedName>
    <definedName name="IQ_PERSONAL_INCOME_GOVT_SOCIAL_BENEFITS_WELFARE" hidden="1">"c20972"</definedName>
    <definedName name="IQ_PERSONAL_INCOME_PCT_CHANGE" hidden="1">"c20973"</definedName>
    <definedName name="IQ_PERSONAL_INCOME_PCT_CHANGE_CHAINED_DOLLARS" hidden="1">"c20974"</definedName>
    <definedName name="IQ_PERSONAL_INCOME_PER_CAPITA" hidden="1">"c20975"</definedName>
    <definedName name="IQ_PERSONAL_INCOME_PER_CAPITA_CHAINED_DOLLARS" hidden="1">"c20976"</definedName>
    <definedName name="IQ_PERSONAL_INCOME_PROPIETOR" hidden="1">"c20977"</definedName>
    <definedName name="IQ_PERSONAL_INCOME_PROPIETOR_FARM" hidden="1">"c20978"</definedName>
    <definedName name="IQ_PERSONAL_INCOME_PROPIETOR_NONFARM" hidden="1">"c20979"</definedName>
    <definedName name="IQ_PERSONAL_INCOME_RENTAL" hidden="1">"c20980"</definedName>
    <definedName name="IQ_PERSONAL_INCOME_TRANSFER_RECEIPTS" hidden="1">"c20981"</definedName>
    <definedName name="IQ_PERSONAL_INCOME_TRANSFER_RECEIPTS_OTHER" hidden="1">"c20982"</definedName>
    <definedName name="IQ_PERSONAL_INCOME_WAGE_SUPPLEMENTS" hidden="1">"c20983"</definedName>
    <definedName name="IQ_PERSONAL_INCOME_WAGES" hidden="1">"c20984"</definedName>
    <definedName name="IQ_PERSONAL_INCOME_WAGES_GOVT" hidden="1">"c20985"</definedName>
    <definedName name="IQ_PERSONAL_INCOME_WAGES_PRIVATE_INDUSTRY" hidden="1">"c20986"</definedName>
    <definedName name="IQ_PERSONAL_INTEREST_PAYMENTS" hidden="1">"c20987"</definedName>
    <definedName name="IQ_PERSONAL_OUTLAYS" hidden="1">"c20988"</definedName>
    <definedName name="IQ_PERSONAL_SAVINGS" hidden="1">"c20989"</definedName>
    <definedName name="IQ_PERSONAL_SAVINGS_PCT_INCOME" hidden="1">"c20990"</definedName>
    <definedName name="IQ_PERSONAL_TRANSFER_PAYMENTS" hidden="1">"c20991"</definedName>
    <definedName name="IQ_PERSONAL_TRANSFER_PAYMENTS_GOVT" hidden="1">"c20992"</definedName>
    <definedName name="IQ_PERSONAL_TRANSFER_PAYMENTS_WORLD" hidden="1">"c20993"</definedName>
    <definedName name="IQ_PERSONAL_TRUST_AGENCY_ACCOUNTS_GROSS_LOSSES_MANAGED_ACCOUNTS_THRIFT" hidden="1">"c25461"</definedName>
    <definedName name="IQ_PERSONAL_TRUST_AGENCY_ACCOUNTS_GROSS_LOSSES_NONMANAGED_ACCOUNTS_THRIFT" hidden="1">"c25466"</definedName>
    <definedName name="IQ_PERSONAL_TRUST_AGENCY_ACCOUNTS_INC_THRIFT" hidden="1">"c24801"</definedName>
    <definedName name="IQ_PERSONAL_TRUST_AGENCY_ACCOUNTS_MANAGED_ASSETS_THRIFT" hidden="1">"c25347"</definedName>
    <definedName name="IQ_PERSONAL_TRUST_AGENCY_ACCOUNTS_NONMANAGED_ASSETS_THRIFT" hidden="1">"c25368"</definedName>
    <definedName name="IQ_PERSONAL_TRUST_AGENCY_ACCOUNTS_NUMBER_MANAGED_ACCOUNTS_THRIFT" hidden="1">"c25358"</definedName>
    <definedName name="IQ_PERSONAL_TRUST_AGENCY_ACCOUNTS_NUMBER_NONMANAGED_ACCOUNTS_THRIFT" hidden="1">"c25380"</definedName>
    <definedName name="IQ_PERSONAL_TRUST_AGENCY_ACCOUNTS_RECOVERIES_THRIFT" hidden="1">"c25471"</definedName>
    <definedName name="IQ_PERSONNEL_EXP_ADJUSTED_OPERATING_INCOME_THRIFT" hidden="1">"c25685"</definedName>
    <definedName name="IQ_PERSONNEL_EXP_AVG_ASSETS_THRIFT" hidden="1">"c25662"</definedName>
    <definedName name="IQ_PLEDGED_LOANS_THRIFT" hidden="1">"c24936"</definedName>
    <definedName name="IQ_PLEDGED_SECURITIES_FDIC" hidden="1">"c6401"</definedName>
    <definedName name="IQ_PLEDGED_SECURITIES_FFIEC" hidden="1">"c24743"</definedName>
    <definedName name="IQ_PLEDGED_TRADING_ASSETS_THRIFT" hidden="1">"c24937"</definedName>
    <definedName name="IQ_PML_SECURED_LAND_DUE_30_89_THRIFT" hidden="1">"c25246"</definedName>
    <definedName name="IQ_PML_SECURED_LAND_DUE_90_THRIFT" hidden="1">"c25267"</definedName>
    <definedName name="IQ_PML_SECURED_LAND_NON_ACCRUAL_THRIFT" hidden="1">"c25288"</definedName>
    <definedName name="IQ_PML_SECURED_MULTIFAMILY_5_MORE_DWELLING_UNITS_DUE_30_89_THRIFT" hidden="1">"c25244"</definedName>
    <definedName name="IQ_PML_SECURED_MULTIFAMILY_5_MORE_DWELLING_UNITS_DUE_90_THRIFT" hidden="1">"c25265"</definedName>
    <definedName name="IQ_PML_SECURED_MULTIFAMILY_5_MORE_DWELLING_UNITS_NON_ACCRUAL_THRIFT" hidden="1">"c25286"</definedName>
    <definedName name="IQ_PML_SECURED_NONRES_PROPERTY_EXCEPT_LAND_DUE_30_89_THRIFT" hidden="1">"c25245"</definedName>
    <definedName name="IQ_PML_SECURED_NONRES_PROPERTY_EXCEPT_LAND_DUE_90_THRIFT" hidden="1">"c25266"</definedName>
    <definedName name="IQ_PML_SECURED_NONRES_PROPERTY_EXCEPT_LAND_NON_ACCRUAL_THRIFT" hidden="1">"c25287"</definedName>
    <definedName name="IQ_POPULATION" hidden="1">"c20994"</definedName>
    <definedName name="IQ_POPULATION_FC" hidden="1">"c20995"</definedName>
    <definedName name="IQ_PORTFOLIO_INVESTMENT_NET" hidden="1">"c20996"</definedName>
    <definedName name="IQ_PORTFOLIO_SHARES" hidden="1">"c19116"</definedName>
    <definedName name="IQ_PRE_TAX_INCOME_FDIC" hidden="1">"c6581"</definedName>
    <definedName name="IQ_PREF_ISSUED_CM" hidden="1">"c1047"</definedName>
    <definedName name="IQ_PREF_OTHER_CM" hidden="1">"c1055"</definedName>
    <definedName name="IQ_PREF_REP_CM" hidden="1">"c1062"</definedName>
    <definedName name="IQ_PREFERRED_DEPOSITS_THRIFT" hidden="1">"c24996"</definedName>
    <definedName name="IQ_PREFERRED_FDIC" hidden="1">"c6349"</definedName>
    <definedName name="IQ_PREFERRED_STOCK_DIVIDENDS_DECLARED_SAVINGS_ASSOCIATION_THRIFT" hidden="1">"c25010"</definedName>
    <definedName name="IQ_PREMISES_EQUIPMENT_FDIC" hidden="1">"c6577"</definedName>
    <definedName name="IQ_PRETAX_RETURN_ASSETS_FDIC" hidden="1">"c6731"</definedName>
    <definedName name="IQ_PRICE_SALES" hidden="1">"c17552"</definedName>
    <definedName name="IQ_PRIMARY_EST_CONSOLIDATION" hidden="1">"c16246"</definedName>
    <definedName name="IQ_PRIMARY_EST_CONSOLIDATION_CIQ" hidden="1">"c16247"</definedName>
    <definedName name="IQ_PRIOR_PERIOD_ADJUSTMENTS_SAVINGS_ASSOCIATION_THRIFT" hidden="1">"c25017"</definedName>
    <definedName name="IQ_PRIVATELY_ISSUED_MORTGAGE_BACKED_SECURITIES_FDIC" hidden="1">"c6407"</definedName>
    <definedName name="IQ_PRIVATELY_ISSUED_MORTGAGE_PASS_THROUGHS_FDIC" hidden="1">"c6405"</definedName>
    <definedName name="IQ_PROVISION_LL_AVG_LOANS_THRIFT" hidden="1">"c25639"</definedName>
    <definedName name="IQ_PROVISION_LL_INT_BEARING_ASSETS_THRIFT" hidden="1">"c24783"</definedName>
    <definedName name="IQ_PROVISION_LL_NET_LOSSES_THRIFT" hidden="1">"c25640"</definedName>
    <definedName name="IQ_PROVISION_LL_NON_INT_BEARING_ASSETS_THRIFT" hidden="1">"c24784"</definedName>
    <definedName name="IQ_PROVISION_LOAN_LL_AVG_ASSETS_THRIFT" hidden="1">"c25785"</definedName>
    <definedName name="IQ_PROVISION_LOAN_LOSSES_AVG_ASSETS_THRIFT" hidden="1">"c25653"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OTHER_MORTGAGE_BACKED_SEC_THRIFT" hidden="1">"c25314"</definedName>
    <definedName name="IQ_PURCHASES_PASS_THROUGH_MORTGAGE_BACKED_SEC_THRIFT" hidden="1">"c25311"</definedName>
    <definedName name="IQ_QTD" hidden="1">750000</definedName>
    <definedName name="IQ_QUALIFYING_MULTIFAMILY_RES_MORTGAGE_LOANS_ELIGIBLE_50_PCT_RISK_WEIGHT_THRIFT" hidden="1">"c25065"</definedName>
    <definedName name="IQ_QUALIFYING_SINGLE_FAMILY_RES_MORTGAGE_LOANS_ELIGIBLE_50_PCT_RISK_WEIGHT_THRIFT" hidden="1">"c25064"</definedName>
    <definedName name="IQ_QUALIFYING_SUB_DEBT_REDEEMABLE_PREFERRED_T2_THRIFT" hidden="1">"c25041"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E_1_4_DWELLING_UNITS_REPOSSESSED_ASSETS_ADJUSTED_NCOS_TOTAL_THRIFT" hidden="1">"c25220"</definedName>
    <definedName name="IQ_RE_1_4_DWELLING_UNITS_REPOSSESSED_ASSETS_GVA_CHARGE_OFFS_THRIFT" hidden="1">"c25135"</definedName>
    <definedName name="IQ_RE_1_4_DWELLING_UNITS_REPOSSESSED_ASSETS_SVA_PROVISIONS_TRANSFERS_FROM_GVA_TOTAL_THRIFT" hidden="1">"c25189"</definedName>
    <definedName name="IQ_RE_ALL_OTHER_ACCOUNTS_THRIFT" hidden="1">"c25436"</definedName>
    <definedName name="IQ_RE_CONSTRUCTION_REPOSSESSED_ASSETS_ADJUSTED_NCOS_TOTAL_THRIFT" hidden="1">"c25219"</definedName>
    <definedName name="IQ_RE_CONSTRUCTION_REPOSSESSED_ASSETS_GVA_CHARGE_OFFS_THRIFT" hidden="1">"c25134"</definedName>
    <definedName name="IQ_RE_CONSTRUCTION_REPOSSESSED_ASSETS_SVA_PROVISIONS_TRANSFERS_FROM_GVA_TOTAL_THRIFT" hidden="1">"c25188"</definedName>
    <definedName name="IQ_RE_EMPLOYEE_BENEFIT_RETIREMENT_RELATED_ACCOUNTS_THRIFT" hidden="1">"c25420"</definedName>
    <definedName name="IQ_RE_FORECLOSURE_FDIC" hidden="1">"c6332"</definedName>
    <definedName name="IQ_RE_HELD_INV_ADJUSTED_NCOS_THRIFT" hidden="1">"c25225"</definedName>
    <definedName name="IQ_RE_HELD_INV_GVA_CHARGE_OFFS_THRIFT" hidden="1">"c25140"</definedName>
    <definedName name="IQ_RE_HELD_INV_SVA_PROVISIONS_TRANSFERS_FROM_GVA_THRIFT" hidden="1">"c25194"</definedName>
    <definedName name="IQ_RE_HELD_INV_THRIFT" hidden="1">"c24878"</definedName>
    <definedName name="IQ_RE_INVEST_FDIC" hidden="1">"c6331"</definedName>
    <definedName name="IQ_RE_LAND_REPOSSESSED_ASSETS_ADJUSTED_NCOS_TOTAL_THRIFT" hidden="1">"c25223"</definedName>
    <definedName name="IQ_RE_LAND_REPOSSESSED_ASSETS_GVA_CHARGE_OFFS_THRIFT" hidden="1">"c25138"</definedName>
    <definedName name="IQ_RE_LAND_REPOSSESSED_ASSETS_SVA_PROVISIONS_TRANSFERS_FROM_GVA_TOTAL_THRIFT" hidden="1">"c25192"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DUE_30_89_FFIEC" hidden="1">"c25826"</definedName>
    <definedName name="IQ_RE_LOANS_DUE_90_FFIEC" hidden="1">"c25827"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NON_ACCRUAL_FFIEC" hidden="1">"c25828"</definedName>
    <definedName name="IQ_RE_LOANS_SECURED_1_4_FAMILY_GROSS_LOANS_THRIFT" hidden="1">"c25722"</definedName>
    <definedName name="IQ_RE_LOANS_SECURED_1_4_FAMILY_RISK_BASED_CAPITAL_THRIFT" hidden="1">"c25707"</definedName>
    <definedName name="IQ_RE_LOANS_SECURED_LAND_GROSS_LOANS_THRIFT" hidden="1">"c25731"</definedName>
    <definedName name="IQ_RE_LOANS_SECURED_LAND_RISK_BASED_CAPITAL_THRIFT" hidden="1">"c25716"</definedName>
    <definedName name="IQ_RE_MORTGAGES_ALL_OTHER_ACCOUNTS_THRIFT" hidden="1">"c25435"</definedName>
    <definedName name="IQ_RE_MORTGAGES_EMPLOYEE_BENEFIT_RETIREMENT_RELATED_ACCOUNTS_THRIFT" hidden="1">"c25419"</definedName>
    <definedName name="IQ_RE_MORTGAGES_PERSONAL_TRUST_AGENCY_INV_MANAGEMENT_ACCOUNTS_THRIFT" hidden="1">"c25403"</definedName>
    <definedName name="IQ_RE_MULTIFAMILY_5_MORE_DWELLING_UNITS_REPOSSESSED_ASSETS_ADJUSTED_NCOS_TOTAL_THRIFT" hidden="1">"c25221"</definedName>
    <definedName name="IQ_RE_MULTIFAMILY_5_MORE_DWELLING_UNITS_REPOSSESSED_ASSETS_GVA_CHARGE_OFFS_THRIFT" hidden="1">"c25136"</definedName>
    <definedName name="IQ_RE_MULTIFAMILY_5_MORE_DWELLING_UNITS_REPOSSESSED_ASSETS_SVA_PROVISIONS_TRANSFERS_FROM_GVA_TOTAL_THRIFT" hidden="1">"c25190"</definedName>
    <definedName name="IQ_RE_NONRES_EXCEPT_LAND_REPOSSESSED_ASSETS_ADJUSTED_NCOS_TOTAL_THRIFT" hidden="1">"c25222"</definedName>
    <definedName name="IQ_RE_NONRES_EXCEPT_LAND_REPOSSESSED_ASSETS_GVA_CHARGE_OFFS_THRIFT" hidden="1">"c25137"</definedName>
    <definedName name="IQ_RE_NONRES_EXCEPT_LAND_REPOSSESSED_ASSETS_SVA_PROVISIONS_TRANSFERS_FROM_GVA_TOTAL_THRIFT" hidden="1">"c25191"</definedName>
    <definedName name="IQ_RE_PERSONAL_TRUST_AGENCY_INV_MANAGEMENT_ACCOUNTS_THRIFT" hidden="1">"c25404"</definedName>
    <definedName name="IQ_REAL_DOMESTIC_PURCHASES" hidden="1">"c20997"</definedName>
    <definedName name="IQ_REAL_EXPORT" hidden="1">"c20998"</definedName>
    <definedName name="IQ_REAL_EXPORT_GOODS" hidden="1">"c20999"</definedName>
    <definedName name="IQ_REAL_EXPORT_INCOME" hidden="1">"c21000"</definedName>
    <definedName name="IQ_REAL_EXPORT_SERVICES" hidden="1">"c21001"</definedName>
    <definedName name="IQ_REAL_FIXED_INVESTMENT" hidden="1">"c21002"</definedName>
    <definedName name="IQ_REAL_GDP" hidden="1">"c21003"</definedName>
    <definedName name="IQ_REAL_GDP_FC" hidden="1">"c21004"</definedName>
    <definedName name="IQ_REAL_GDP_GROWTH" hidden="1">"c21005"</definedName>
    <definedName name="IQ_REAL_GDP_GROWTH_FC" hidden="1">"c21006"</definedName>
    <definedName name="IQ_REAL_GDP_USD" hidden="1">"c21007"</definedName>
    <definedName name="IQ_REAL_GDP_USD_FC" hidden="1">"c21008"</definedName>
    <definedName name="IQ_REAL_GNP" hidden="1">"c21009"</definedName>
    <definedName name="IQ_REAL_GOVT_CONSUM_INVEST" hidden="1">"c21010"</definedName>
    <definedName name="IQ_REAL_GOVT_CONSUM_INVEST_DEF" hidden="1">"c21011"</definedName>
    <definedName name="IQ_REAL_GOVT_CONSUM_INVEST_DEF_CONSUM" hidden="1">"c21012"</definedName>
    <definedName name="IQ_REAL_GOVT_CONSUM_INVEST_DEF_INVEST" hidden="1">"c21013"</definedName>
    <definedName name="IQ_REAL_GOVT_CONSUM_INVEST_FEDERAL" hidden="1">"c21014"</definedName>
    <definedName name="IQ_REAL_GOVT_CONSUM_INVEST_NONDEF" hidden="1">"c21015"</definedName>
    <definedName name="IQ_REAL_GOVT_CONSUM_INVEST_NONDEF_CONSUM" hidden="1">"c21016"</definedName>
    <definedName name="IQ_REAL_GOVT_CONSUM_INVEST_NONDEF_INVEST" hidden="1">"c21017"</definedName>
    <definedName name="IQ_REAL_GOVT_CONSUM_INVEST_STATE_LOCAL" hidden="1">"c21018"</definedName>
    <definedName name="IQ_REAL_GOVT_CONSUM_INVEST_STATE_LOCAL_CONSUM" hidden="1">"c21019"</definedName>
    <definedName name="IQ_REAL_GOVT_CONSUM_INVEST_STATE_LOCAL_INVEST" hidden="1">"c21020"</definedName>
    <definedName name="IQ_REAL_IMPORT" hidden="1">"c21021"</definedName>
    <definedName name="IQ_REAL_IMPORT_GOODS" hidden="1">"c21022"</definedName>
    <definedName name="IQ_REAL_IMPORT_INCOME" hidden="1">"c21023"</definedName>
    <definedName name="IQ_REAL_IMPORT_SERVICES" hidden="1">"c21024"</definedName>
    <definedName name="IQ_REAL_NET_DOMESTIC_PRODUCTION" hidden="1">"c21025"</definedName>
    <definedName name="IQ_REAL_NET_EXPORT" hidden="1">"c21026"</definedName>
    <definedName name="IQ_REAL_PCE" hidden="1">"c21027"</definedName>
    <definedName name="IQ_REAL_PCE_CLOTHING" hidden="1">"c21028"</definedName>
    <definedName name="IQ_REAL_PCE_DUR_GOODS" hidden="1">"c21029"</definedName>
    <definedName name="IQ_REAL_PCE_DUR_GOODS_OTHER" hidden="1">"c21030"</definedName>
    <definedName name="IQ_REAL_PCE_FINANCIAL" hidden="1">"c21031"</definedName>
    <definedName name="IQ_REAL_PCE_FOOD_ACCOMADATIONS" hidden="1">"c21032"</definedName>
    <definedName name="IQ_REAL_PCE_FOOD_BEVERAGE" hidden="1">"c21033"</definedName>
    <definedName name="IQ_REAL_PCE_FURNISHINGS" hidden="1">"c21034"</definedName>
    <definedName name="IQ_REAL_PCE_GAS" hidden="1">"c21035"</definedName>
    <definedName name="IQ_REAL_PCE_GOOD" hidden="1">"c21036"</definedName>
    <definedName name="IQ_REAL_PCE_HEALTH_CARE" hidden="1">"c21037"</definedName>
    <definedName name="IQ_REAL_PCE_HOUSEHOLD_CONSUM" hidden="1">"c21038"</definedName>
    <definedName name="IQ_REAL_PCE_HOUSEHOLD_CONSUM_OTHER" hidden="1">"c21039"</definedName>
    <definedName name="IQ_REAL_PCE_HOUSING" hidden="1">"c21040"</definedName>
    <definedName name="IQ_REAL_PCE_MOTOR_VEHICLE" hidden="1">"c21041"</definedName>
    <definedName name="IQ_REAL_PCE_NONDUR_GOODS" hidden="1">"c21042"</definedName>
    <definedName name="IQ_REAL_PCE_NONDUR_GOODS_OTHER" hidden="1">"c21043"</definedName>
    <definedName name="IQ_REAL_PCE_NONPROFIT_CONSUM" hidden="1">"c21044"</definedName>
    <definedName name="IQ_REAL_PCE_NONPROFIT_OUTPUT" hidden="1">"c21045"</definedName>
    <definedName name="IQ_REAL_PCE_NONPROFIT_RECEIPTS" hidden="1">"c21046"</definedName>
    <definedName name="IQ_REAL_PCE_RECREATION_GOODS" hidden="1">"c21047"</definedName>
    <definedName name="IQ_REAL_PCE_RECREATION_SERVICES" hidden="1">"c21048"</definedName>
    <definedName name="IQ_REAL_PCE_SERVICES" hidden="1">"c21049"</definedName>
    <definedName name="IQ_REAL_PCE_TRANSPORTATION" hidden="1">"c21050"</definedName>
    <definedName name="IQ_REAL_PRIVATE_CONSUM_GROWTH" hidden="1">"c21051"</definedName>
    <definedName name="IQ_REAL_PRIVATE_INVEST" hidden="1">"c21052"</definedName>
    <definedName name="IQ_REAL_PRIVATE_INVEST_EQUIP" hidden="1">"c21053"</definedName>
    <definedName name="IQ_REAL_PRIVATE_INVEST_EQUIP_OTHER" hidden="1">"c21054"</definedName>
    <definedName name="IQ_REAL_PRIVATE_INVEST_FIXED" hidden="1">"c21055"</definedName>
    <definedName name="IQ_REAL_PRIVATE_INVEST_INDUSTRIAL_EQUIP" hidden="1">"c21056"</definedName>
    <definedName name="IQ_REAL_PRIVATE_INVEST_INFO_EQUIP" hidden="1">"c21057"</definedName>
    <definedName name="IQ_REAL_PRIVATE_INVEST_INFO_EQUIP_COMPUTERS" hidden="1">"c21058"</definedName>
    <definedName name="IQ_REAL_PRIVATE_INVEST_INFO_EQUIP_OTHER" hidden="1">"c21059"</definedName>
    <definedName name="IQ_REAL_PRIVATE_INVEST_INFO_EQUIP_SOFTWARE" hidden="1">"c21060"</definedName>
    <definedName name="IQ_REAL_PRIVATE_INVEST_NONRES" hidden="1">"c21061"</definedName>
    <definedName name="IQ_REAL_PRIVATE_INVEST_PRIVATE_INV_CHANGE" hidden="1">"c21062"</definedName>
    <definedName name="IQ_REAL_PRIVATE_INVEST_PRIVATE_INV_FARMS" hidden="1">"c21063"</definedName>
    <definedName name="IQ_REAL_PRIVATE_INVEST_PRIVATE_INV_NONFARMS" hidden="1">"c21064"</definedName>
    <definedName name="IQ_REAL_PRIVATE_INVEST_RES" hidden="1">"c21065"</definedName>
    <definedName name="IQ_REAL_PRIVATE_INVEST_STRUCTURES" hidden="1">"c21066"</definedName>
    <definedName name="IQ_REAL_PRIVATE_INVEST_TRANSPORTATION_EQUIP" hidden="1">"c21067"</definedName>
    <definedName name="IQ_REAL_SALES_TO_DOMESTIC_PURCHASES" hidden="1">"c21068"</definedName>
    <definedName name="IQ_REBOOKED_GNMA_LOANS_REPURCHASED_ELIGIBLE_REPURCHASE_DUE_30_89_THRIFT" hidden="1">"c25260"</definedName>
    <definedName name="IQ_REBOOKED_GNMA_LOANS_REPURCHASED_ELIGIBLE_REPURCHASE_DUE_90_THRIFT" hidden="1">"c25281"</definedName>
    <definedName name="IQ_REBOOKED_GNMA_LOANS_REPURCHASED_ELIGIBLE_REPURCHASE_NON_ACCRUAL_THRIFT" hidden="1">"c25302"</definedName>
    <definedName name="IQ_RECIPROCAL_BROKERED_DEPOSITS_THRIFT" hidden="1">"c24997"</definedName>
    <definedName name="IQ_RECORDED_INV_PURCHASED_CREDIT_IMPAIRED_LOANS_THRIFT" hidden="1">"c25238"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GVA_THRIFT" hidden="1">"c25094"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OVERIES_TVA_THRIFT" hidden="1">"c25108"</definedName>
    <definedName name="IQ_RELATED_PLANS_FDIC" hidden="1">"c6320"</definedName>
    <definedName name="IQ_REPOSSESS_1_4_DWELLING_UNITS_RE_THRIFT" hidden="1">"c24871"</definedName>
    <definedName name="IQ_REPOSSESS_ASSETS_THRIFT" hidden="1">"c24869"</definedName>
    <definedName name="IQ_REPOSSESS_CONSTRUCTION_RE_THRIFT" hidden="1">"c24870"</definedName>
    <definedName name="IQ_REPOSSESS_GVA_THRIFT" hidden="1">"c24877"</definedName>
    <definedName name="IQ_REPOSSESS_LAND_THRIFT" hidden="1">"c24874"</definedName>
    <definedName name="IQ_REPOSSESS_MULTIFAMILY_5_MORE_DWELLING_UNITS_RE_THRIFT" hidden="1">"c24872"</definedName>
    <definedName name="IQ_REPOSSESS_NONRES_EXCEPT_LAND_RE_THRIFT" hidden="1">"c24873"</definedName>
    <definedName name="IQ_REPOSSESS_OTHER_ASSETS_THRIFT" hidden="1">"c24876"</definedName>
    <definedName name="IQ_REPOSSESS_US_GOVT_GUARANTEED_INSURED_RE_OWNED_THRIFT" hidden="1">"c24875"</definedName>
    <definedName name="IQ_REPOSSESSED_ASSETS_TOTAL_ADJUSTED_NCOS_TOTAL_THRIFT" hidden="1">"c25218"</definedName>
    <definedName name="IQ_REPOSSESSED_ASSETS_TOTAL_GVA_CHARGE_OFFS_THRIFT" hidden="1">"c25133"</definedName>
    <definedName name="IQ_REPOSSESSED_ASSETS_TOTAL_SVA_PROVISIONS_TRANSFERS_FROM_GVA_TOTAL_THRIFT" hidden="1">"c25187"</definedName>
    <definedName name="IQ_RESIDUAL_INTERESTS_INT_ONLY_STRIPS_THRIFT" hidden="1">"c24939"</definedName>
    <definedName name="IQ_RESIDUAL_INTERESTS_THRIFT" hidden="1">"c24938"</definedName>
    <definedName name="IQ_RESTATEMENTS_NET_FDIC" hidden="1">"c6500"</definedName>
    <definedName name="IQ_RESTRUCTURE_CM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L_INV_BUILDING_MATERIAL" hidden="1">"c21069"</definedName>
    <definedName name="IQ_RETAIL_INV_CLOTHING" hidden="1">"c21070"</definedName>
    <definedName name="IQ_RETAIL_INV_DEPT_STORE" hidden="1">"c21071"</definedName>
    <definedName name="IQ_RETAIL_INV_FOOD" hidden="1">"c21072"</definedName>
    <definedName name="IQ_RETAIL_INV_FURNITURE" hidden="1">"c21073"</definedName>
    <definedName name="IQ_RETAIL_INV_GENERAL" hidden="1">"c21074"</definedName>
    <definedName name="IQ_RETAIL_INV_MOTOR_VEHICLE" hidden="1">"c21075"</definedName>
    <definedName name="IQ_RETAIL_INV_SALES_RATIO_BUILDING" hidden="1">"c21076"</definedName>
    <definedName name="IQ_RETAIL_INV_SALES_RATIO_CLOTHING" hidden="1">"c21077"</definedName>
    <definedName name="IQ_RETAIL_INV_SALES_RATIO_DEPT_STORE" hidden="1">"c21078"</definedName>
    <definedName name="IQ_RETAIL_INV_SALES_RATIO_FOOD" hidden="1">"c21079"</definedName>
    <definedName name="IQ_RETAIL_INV_SALES_RATIO_FURNITURE" hidden="1">"c21080"</definedName>
    <definedName name="IQ_RETAIL_INV_SALES_RATIO_GENERAL" hidden="1">"c21081"</definedName>
    <definedName name="IQ_RETAIL_INV_SALES_RATIO_MV" hidden="1">"c21082"</definedName>
    <definedName name="IQ_RETAIL_INV_SALES_RATIO_TOTAL" hidden="1">"c21083"</definedName>
    <definedName name="IQ_RETAIL_INV_SALES_RATIO_TOTAL_EX_MV" hidden="1">"c21084"</definedName>
    <definedName name="IQ_RETAIL_INV_TOTAL" hidden="1">"c21085"</definedName>
    <definedName name="IQ_RETAIL_INV_TOTAL_EX_MOTOR_VEHICLE" hidden="1">"c21086"</definedName>
    <definedName name="IQ_RETAIL_SALES_BUILDING_MATERIAL" hidden="1">"c21087"</definedName>
    <definedName name="IQ_RETAIL_SALES_CLOTHING" hidden="1">"c21088"</definedName>
    <definedName name="IQ_RETAIL_SALES_FOODSTUFF" hidden="1">"c21089"</definedName>
    <definedName name="IQ_RETAIL_SALES_FURNITURE" hidden="1">"c21090"</definedName>
    <definedName name="IQ_RETAIL_SALES_GAS" hidden="1">"c21091"</definedName>
    <definedName name="IQ_RETAIL_SALES_GENERAL" hidden="1">"c21092"</definedName>
    <definedName name="IQ_RETAIL_SALES_HEALTH" hidden="1">"c21093"</definedName>
    <definedName name="IQ_RETAIL_SALES_MISC" hidden="1">"c21094"</definedName>
    <definedName name="IQ_RETAIL_SALES_MOTOR_VEHICLE" hidden="1">"c21095"</definedName>
    <definedName name="IQ_RETAIL_SALES_NONSTORES" hidden="1">"c21096"</definedName>
    <definedName name="IQ_RETAIL_SALES_SPORTING_GOODS" hidden="1">"c21097"</definedName>
    <definedName name="IQ_RETAIL_SALES_TOTAL" hidden="1">"c21098"</definedName>
    <definedName name="IQ_RETAIL_SALES_TOTAL_EX_MOTOR_VEHICLE" hidden="1">"c21099"</definedName>
    <definedName name="IQ_RETAIL_SALES_YOY_PCT" hidden="1">"c21100"</definedName>
    <definedName name="IQ_RETAINED_EARNINGS_AVERAGE_EQUITY_FDIC" hidden="1">"c6733"</definedName>
    <definedName name="IQ_RETAINED_EARNINGS_EQUITY_THRIFT" hidden="1">"c25633"</definedName>
    <definedName name="IQ_RETAINED_EARNINGS_THRIFT" hidden="1">"c24919"</definedName>
    <definedName name="IQ_RETIREMENT_DEFINED_BENEFIT_INC_THRIFT" hidden="1">"c24803"</definedName>
    <definedName name="IQ_RETIREMENT_DEFINED_CONT_INC_THRIFT" hidden="1">"c24802"</definedName>
    <definedName name="IQ_RETIREMENT_DEPOSITS_LESS_THAN_250000_THRIFT" hidden="1">"c24990"</definedName>
    <definedName name="IQ_RETIREMENT_DEPOSITS_WITH_BALANCES_GREATER_THAN_250000_THRIFT" hidden="1">"c24991"</definedName>
    <definedName name="IQ_RETIREMENT_OTHER_RETIREMENT_ACCOUNTS_INC_THRIFT" hidden="1">"c24804"</definedName>
    <definedName name="IQ_RETIREMENT_RELATED_EMPLOYEE_BENEFIT_ACCOUNTS_GROSS_LOSSES_MANAGED_ACCOUNTS_THRIFT" hidden="1">"c25462"</definedName>
    <definedName name="IQ_RETIREMENT_RELATED_EMPLOYEE_BENEFIT_ACCOUNTS_GROSS_LOSSES_NONMANAGED_ACCOUNTS_THRIFT" hidden="1">"c25467"</definedName>
    <definedName name="IQ_RETIREMENT_RELATED_EMPLOYEE_BENEFIT_ACCOUNTS_RECOVERIES_THRIFT" hidden="1">"c25472"</definedName>
    <definedName name="IQ_RETIREMENT_RELATED_TRUST_AGENCY_ACCOUNTS_EMPLOYEE_BENEFIT_DEFINED_BENEFIT_MANAGED_ASSETS_THRIFT" hidden="1">"c25349"</definedName>
    <definedName name="IQ_RETIREMENT_RELATED_TRUST_AGENCY_ACCOUNTS_EMPLOYEE_BENEFIT_DEFINED_BENEFIT_NONMANAGED_ASSETS_THRIFT" hidden="1">"c25370"</definedName>
    <definedName name="IQ_RETIREMENT_RELATED_TRUST_AGENCY_ACCOUNTS_EMPLOYEE_BENEFIT_DEFINED_BENEFIT_NUMBER_MANAGED_ACCOUNTS_THRIFT" hidden="1">"c25360"</definedName>
    <definedName name="IQ_RETIREMENT_RELATED_TRUST_AGENCY_ACCOUNTS_EMPLOYEE_BENEFIT_DEFINED_BENEFIT_NUMBER_NONMANAGED_ACCOUNTS_THRIFT" hidden="1">"c25382"</definedName>
    <definedName name="IQ_RETIREMENT_RELATED_TRUST_AGENCY_ACCOUNTS_EMPLOYEE_BENEFIT_DEFINED_CONTRIBUTION_MANAGED_ASSETS_THRIFT" hidden="1">"c25348"</definedName>
    <definedName name="IQ_RETIREMENT_RELATED_TRUST_AGENCY_ACCOUNTS_EMPLOYEE_BENEFIT_DEFINED_CONTRIBUTION_NONMANAGED_ASSETS_THRIFT" hidden="1">"c25369"</definedName>
    <definedName name="IQ_RETIREMENT_RELATED_TRUST_AGENCY_ACCOUNTS_EMPLOYEE_BENEFIT_DEFINED_CONTRIBUTION_NUMBER_MANAGED_ACCOUNTS_THRIFT" hidden="1">"c25359"</definedName>
    <definedName name="IQ_RETIREMENT_RELATED_TRUST_AGENCY_ACCOUNTS_EMPLOYEE_BENEFIT_DEFINED_CONTRIBUTION_NUMBER_NONMANAGED_ACCOUNTS_THRIFT" hidden="1">"c25381"</definedName>
    <definedName name="IQ_RETIREMENT_RELATED_TRUST_AGENCY_ACCOUNTS_EMPLOYEE_BENEFIT_OTHER_MANAGED_ASSETS_THRIFT" hidden="1">"c25350"</definedName>
    <definedName name="IQ_RETIREMENT_RELATED_TRUST_AGENCY_ACCOUNTS_EMPLOYEE_BENEFIT_OTHER_NONMANAGED_ASSETS_THRIFT" hidden="1">"c25371"</definedName>
    <definedName name="IQ_RETIREMENT_RELATED_TRUST_AGENCY_ACCOUNTS_EMPLOYEE_BENEFIT_OTHER_NUMBER_MANAGED_ACCOUNTS_THRIFT" hidden="1">"c25361"</definedName>
    <definedName name="IQ_RETIREMENT_RELATED_TRUST_AGENCY_ACCOUNTS_EMPLOYEE_BENEFIT_OTHER_NUMBER_NONMANAGED_ACCOUNTS_THRIFT" hidden="1">"c25383"</definedName>
    <definedName name="IQ_RETURN_ASSETS_CM" hidden="1">"c1115"</definedName>
    <definedName name="IQ_RETURN_ASSETS_FDIC" hidden="1">"c6730"</definedName>
    <definedName name="IQ_RETURN_EQUITY_CM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BEFORE_LL_THRIFT" hidden="1">"c24782"</definedName>
    <definedName name="IQ_REVENUE_EST_DOWN_2MONTH" hidden="1">"c16285"</definedName>
    <definedName name="IQ_REVENUE_EST_DOWN_2MONTH_CIQ" hidden="1">"c16609"</definedName>
    <definedName name="IQ_REVENUE_EST_DOWN_3MONTH" hidden="1">"c16289"</definedName>
    <definedName name="IQ_REVENUE_EST_DOWN_3MONTH_CIQ" hidden="1">"c16613"</definedName>
    <definedName name="IQ_REVENUE_EST_DOWN_MONTH" hidden="1">"c16281"</definedName>
    <definedName name="IQ_REVENUE_EST_DOWN_MONTH_CIQ" hidden="1">"c16605"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3MONTH" hidden="1">"c16287"</definedName>
    <definedName name="IQ_REVENUE_EST_NUM_ANALYSTS_3MONTH_CIQ" hidden="1">"c16611"</definedName>
    <definedName name="IQ_REVENUE_EST_NUM_ANALYSTS_MONTH" hidden="1">"c16279"</definedName>
    <definedName name="IQ_REVENUE_EST_NUM_ANALYSTS_MONTH_CIQ" hidden="1">"c16603"</definedName>
    <definedName name="IQ_REVENUE_EST_TOTAL_REVISED_2MONTH" hidden="1">"c16286"</definedName>
    <definedName name="IQ_REVENUE_EST_TOTAL_REVISED_2MONTH_CIQ" hidden="1">"c16610"</definedName>
    <definedName name="IQ_REVENUE_EST_TOTAL_REVISED_3MONTH" hidden="1">"c16290"</definedName>
    <definedName name="IQ_REVENUE_EST_TOTAL_REVISED_3MONTH_CIQ" hidden="1">"c16614"</definedName>
    <definedName name="IQ_REVENUE_EST_TOTAL_REVISED_MONTH" hidden="1">"c16282"</definedName>
    <definedName name="IQ_REVENUE_EST_TOTAL_REVISED_MONTH_CIQ" hidden="1">"c16606"</definedName>
    <definedName name="IQ_REVENUE_EST_UP_2MONTH" hidden="1">"c16284"</definedName>
    <definedName name="IQ_REVENUE_EST_UP_2MONTH_CIQ" hidden="1">"c16608"</definedName>
    <definedName name="IQ_REVENUE_EST_UP_3MONTH" hidden="1">"c16288"</definedName>
    <definedName name="IQ_REVENUE_EST_UP_3MONTH_CIQ" hidden="1">"c16612"</definedName>
    <definedName name="IQ_REVENUE_EST_UP_MONTH" hidden="1">"c16280"</definedName>
    <definedName name="IQ_REVENUE_EST_UP_MONTH_CIQ" hidden="1">"c16604"</definedName>
    <definedName name="IQ_REVOLVING_LOANS_GROSS_LOANS_THRIFT" hidden="1">"c25723"</definedName>
    <definedName name="IQ_REVOLVING_LOANS_RISK_BASED_CAPITAL_THRIFT" hidden="1">"c25708"</definedName>
    <definedName name="IQ_REVOLVING_OPEN_END_PML_SECURED_1_4_DWELLING_UNITS_DUE_30_89_THRIFT" hidden="1">"c25241"</definedName>
    <definedName name="IQ_REVOLVING_OPEN_END_PML_SECURED_1_4_DWELLING_UNITS_DUE_90_THRIFT" hidden="1">"c25262"</definedName>
    <definedName name="IQ_REVOLVING_OPEN_END_PML_SECURED_1_4_DWELLING_UNITS_NON_ACCRUAL_THRIFT" hidden="1">"c25283"</definedName>
    <definedName name="IQ_RISK_WEIGHTED_ASSETS_BEFORE_EXCESS_ALLOWANCE_LL_LOSSES_THRIFT" hidden="1">"c25077"</definedName>
    <definedName name="IQ_RISK_WEIGHTED_ASSETS_FDIC" hidden="1">"c6370"</definedName>
    <definedName name="IQ_RISK_WEIGHTED_ASSETS_LOW_LEVEL_RECOURSE_RESIDUAL_INTERESTS_THRIFT" hidden="1">"c25075"</definedName>
    <definedName name="IQ_RSSD_ID_FFIEC" hidden="1">"c20506"</definedName>
    <definedName name="IQ_SALARIES_EMPLOYEE_BENEFITS_THRIFT" hidden="1">"c24786"</definedName>
    <definedName name="IQ_SALARY_FDIC" hidden="1">"c6576"</definedName>
    <definedName name="IQ_SALE_CONVERSION_RETIREMENT_STOCK_FDIC" hidden="1">"c6661"</definedName>
    <definedName name="IQ_SALE_INTAN_CF_CM" hidden="1">"c1133"</definedName>
    <definedName name="IQ_SALE_PPE_CF_CM" hidden="1">"c1139"</definedName>
    <definedName name="IQ_SALE_PROCEEDS_RENTAL_ASSETS" hidden="1">"c26974"</definedName>
    <definedName name="IQ_SALE_REAL_ESTATE_CF_CM" hidden="1">"c1145"</definedName>
    <definedName name="IQ_SALES_COMM_NON_MORTGAGE_LOANS_THRIFT" hidden="1">"c25340"</definedName>
    <definedName name="IQ_SALES_CONSUMER_NON_MORTGAGE_LOANS_THRIFT" hidden="1">"c25342"</definedName>
    <definedName name="IQ_SALES_OTHER_MORTGAGE_BACKED_SEC_THRIFT" hidden="1">"c25315"</definedName>
    <definedName name="IQ_SALES_PASS_THROUGH_MORTGAGE_BACKED_SEC_THRIFT" hidden="1">"c25312"</definedName>
    <definedName name="IQ_SAVINGS_ASSOCIATION_EQUITY_CAPITAL_BEGINNING_BALANCE_FROM_PRIOR_QTR_THRIFT" hidden="1">"c25008"</definedName>
    <definedName name="IQ_SAVINGS_ASSOCIATION_EQUITY_CAPITAL_ENDING_BALANCE_THRIFT" hidden="1">"c25019"</definedName>
    <definedName name="IQ_SEC_BACKED_NON_MORTGAGE_LOANS_THRIFT" hidden="1">"c24825"</definedName>
    <definedName name="IQ_SEC_BACKED_US_GOVT_ELIGIBLE_0_PCT_RISK_WEIGHT_THRIFT" hidden="1">"c25052"</definedName>
    <definedName name="IQ_SEC_ISSUED_US_AFS_AMORT_COST_FFIEC" hidden="1">"c20492"</definedName>
    <definedName name="IQ_SEC_ISSUED_US_AFS_FAIR_VAL_FFIEC" hidden="1">"c20457"</definedName>
    <definedName name="IQ_SEC_RISK_WEIGHTED_100_PCT_MORE_UNDER_RATINGS_THRIFT" hidden="1">"c25071"</definedName>
    <definedName name="IQ_SEC_SOLD_UNDER_AGREEMENTS_REPURCHASE_THRIFT" hidden="1">"c25574"</definedName>
    <definedName name="IQ_SECOND_LIEN_BONDS_NOTES" hidden="1">"c17893"</definedName>
    <definedName name="IQ_SECOND_LIEN_BONDS_NOTES_PCT" hidden="1">"c18007"</definedName>
    <definedName name="IQ_SECOND_LIEN_DEBT" hidden="1">"c17898"</definedName>
    <definedName name="IQ_SECOND_LIEN_DEBT_PCT" hidden="1">"c18012"</definedName>
    <definedName name="IQ_SECOND_LIEN_LOANS" hidden="1">"c17892"</definedName>
    <definedName name="IQ_SECOND_LIEN_LOANS_PCT" hidden="1">"c18006"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COMMERCIAL_LOANS_THRIFT" hidden="1">"c24854"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FED_FUNDS_PURCHASED_TOTAL_ASSETS_THRIFT" hidden="1">"c25703"</definedName>
    <definedName name="IQ_SECURED_FEDERAL_FUNDS_PURCHASED_THRIFT" hidden="1">"c25573"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UNDERWRITING_FDIC" hidden="1">"c6529"</definedName>
    <definedName name="IQ_SECURITIZED_DEBT" hidden="1">"c17897"</definedName>
    <definedName name="IQ_SECURITIZED_DEBT_PCT" hidden="1">"c18011"</definedName>
    <definedName name="IQ_SERVICE_CHARGES_COMM_FEE_DOM_FFIEC" hidden="1">"c25821"</definedName>
    <definedName name="IQ_SERVICE_CHARGES_FDIC" hidden="1">"c6572"</definedName>
    <definedName name="IQ_SERVICING_ASSETS_MORTGAGE_LOANS_THRIFT" hidden="1">"c24888"</definedName>
    <definedName name="IQ_SERVICING_ASSETS_NON_MORTGAGE_LOANS_THRIFT" hidden="1">"c24889"</definedName>
    <definedName name="IQ_SHAREOUTSTANDING" hidden="1">"c1347"</definedName>
    <definedName name="IQ_SHORT_BUSINESS_DESCRIPTION" hidden="1">"c24668"</definedName>
    <definedName name="IQ_SHORT_TERM_INV_SHORT_TERM_NONCORE_FUNDING_THRIFT" hidden="1">"c25625"</definedName>
    <definedName name="IQ_SHORT_TERM_INV_TOTAL_ASSETS_THRIFT" hidden="1">"c25695"</definedName>
    <definedName name="IQ_SP_QUALITY_RANKING_DESCRIPTION" hidden="1">"c17410"</definedName>
    <definedName name="IQ_SP_QUALITY_RANKING_VALUE" hidden="1">"c17409"</definedName>
    <definedName name="IQ_SP_STARS_DESCRIPTION" hidden="1">"c17408"</definedName>
    <definedName name="IQ_SP_STARS_VALUE" hidden="1">"c17407"</definedName>
    <definedName name="IQ_SPECIAL_DIV_CF_CM" hidden="1">"c1171"</definedName>
    <definedName name="IQ_SPOT_CLOSEPRICE" hidden="1">"c17802"</definedName>
    <definedName name="IQ_SPOT_HIGHPRICE" hidden="1">"c17800"</definedName>
    <definedName name="IQ_SPOT_LASTSALEPRICE" hidden="1">"c17806"</definedName>
    <definedName name="IQ_SPOT_LOWPRICE" hidden="1">"c17801"</definedName>
    <definedName name="IQ_SPOT_PRICEDATE" hidden="1">"c17805"</definedName>
    <definedName name="IQ_SPOT_YEARHIGH" hidden="1">"c17803"</definedName>
    <definedName name="IQ_SPOT_YEARLOW" hidden="1">"c17804"</definedName>
    <definedName name="IQ_SR_SECURED_BONDS_NOTES" hidden="1">"c17889"</definedName>
    <definedName name="IQ_SR_SECURED_BONDS_NOTES_PCT" hidden="1">"c18003"</definedName>
    <definedName name="IQ_SR_SECURED_LOANS" hidden="1">"c17888"</definedName>
    <definedName name="IQ_SR_SECURED_LOANS_PCT" hidden="1">"c18002"</definedName>
    <definedName name="IQ_SR_UNSECURED_BONDS_NOTES" hidden="1">"c17891"</definedName>
    <definedName name="IQ_SR_UNSECURED_BONDS_NOTES_PCT" hidden="1">"c18005"</definedName>
    <definedName name="IQ_ST_DEBT_CM" hidden="1">"c1178"</definedName>
    <definedName name="IQ_ST_DEBT_DERIVATIVES" hidden="1">"c17741"</definedName>
    <definedName name="IQ_ST_DEBT_ISSUED_CM" hidden="1">"c1183"</definedName>
    <definedName name="IQ_ST_DEBT_REPAID_CM" hidden="1">"c1191"</definedName>
    <definedName name="IQ_STANDBY_LETTERS_CREDIT_THRIFT" hidden="1">"c25614"</definedName>
    <definedName name="IQ_STATE_COUNTY_MUNICIPAL_OBLIGATIONS_ALL_OTHER_ACCOUNTS_THRIFT" hidden="1">"c25426"</definedName>
    <definedName name="IQ_STATE_COUNTY_MUNICIPAL_OBLIGATIONS_EMPLOYEE_BENEFIT_RETIREMENT_RELATED_ACCOUNTS_THRIFT" hidden="1">"c25410"</definedName>
    <definedName name="IQ_STATE_COUNTY_MUNICIPAL_OBLIGATIONS_PERSONAL_TRUST_AGENCY_INV_MANAGEMENT_ACCOUNTS_THRIFT" hidden="1">"c25394"</definedName>
    <definedName name="IQ_STATE_LOCAL_OTHER_INC_TAXES_THRIFT" hidden="1">"c24817"</definedName>
    <definedName name="IQ_STATE_LOCAL_REVENUE_BONDS_ELIGIBLE_50_PCT_RISK_WEIGHT_THRIFT" hidden="1">"c25067"</definedName>
    <definedName name="IQ_STATE_MUNI_OBLIGATIONS_THRIFT" hidden="1">"c24824"</definedName>
    <definedName name="IQ_STATE_OF_INC" hidden="1">"c18104"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OCK_ISSUED_SAVINGS_ASSOCIATION_THRIFT" hidden="1">"c25012"</definedName>
    <definedName name="IQ_STOCK_MARKET_INDEX" hidden="1">"c21101"</definedName>
    <definedName name="IQ_STOCK_RETIRED_SAVINGS_ASSOCIATION_THRIFT" hidden="1">"c25013"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DEBENTURES_THRIFT" hidden="1">"c24902"</definedName>
    <definedName name="IQ_SUB_DEBT_FDIC" hidden="1">"c6346"</definedName>
    <definedName name="IQ_SUBORDINATED_DEBENTURES_AMOUNTS_NETTED_THRIFT" hidden="1">"c25540"</definedName>
    <definedName name="IQ_SUBORDINATED_DEBENTURES_LEVEL_1_THRIFT" hidden="1">"c25536"</definedName>
    <definedName name="IQ_SUBORDINATED_DEBENTURES_LEVEL_2_THRIFT" hidden="1">"c25537"</definedName>
    <definedName name="IQ_SUBORDINATED_DEBENTURES_LEVEL_3_THRIFT" hidden="1">"c25538"</definedName>
    <definedName name="IQ_SUBORDINATED_DEBENTURES_TOTAL_AFTER_NETTING_THRIFT" hidden="1">"c25541"</definedName>
    <definedName name="IQ_SUBORDINATED_DEBENTURES_TOTAL_BEFORE_NETTING_THRIFT" hidden="1">"c25539"</definedName>
    <definedName name="IQ_SUBORDINATED_DEBENTURES_WITH_REMAINING_MATURITY_ONE_YEAR_LESS_THRIFT" hidden="1">"c25577"</definedName>
    <definedName name="IQ_SUBORDINATED_DEBENTURES_WITH_REMAINING_MATURITY_OVER_ONE_YEAR_THRIFT" hidden="1">"c25578"</definedName>
    <definedName name="IQ_SURPLUS_FDIC" hidden="1">"c6351"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TANGIBLE_ASSETS_THRIFT" hidden="1">"c25088"</definedName>
    <definedName name="IQ_TANGIBLE_COMMON_EQUITY_THRIFT" hidden="1">"c25086"</definedName>
    <definedName name="IQ_TANGIBLE_EQUITY_RATIO_THRIFT" hidden="1">"c25084"</definedName>
    <definedName name="IQ_TANGIBLE_EQUITY_THRIFT" hidden="1">"c25087"</definedName>
    <definedName name="IQ_TANGIBLE_TIER_1_LEVERAGE_RATIO_THRIFT" hidden="1">"c25631"</definedName>
    <definedName name="IQ_TARP_INIT_INVEST_AMT" hidden="1">"c17863"</definedName>
    <definedName name="IQ_TARP_INIT_INVEST_DATE_ANN" hidden="1">"c17861"</definedName>
    <definedName name="IQ_TARP_INIT_INVEST_DATE_CLOSED" hidden="1">"c17862"</definedName>
    <definedName name="IQ_TARP_INVESTOR_STATUS" hidden="1">"c17865"</definedName>
    <definedName name="IQ_TARP_REMAINING_AMT" hidden="1">"c17869"</definedName>
    <definedName name="IQ_TARP_REMAINING_SEC_DES" hidden="1">"c17870"</definedName>
    <definedName name="IQ_TARP_REPAYMENT_DISP" hidden="1">"c17866"</definedName>
    <definedName name="IQ_TARP_REPAYMENT_DISP_AMT" hidden="1">"c17868"</definedName>
    <definedName name="IQ_TARP_REPAYMENT_DISP_DATE" hidden="1">"c17867"</definedName>
    <definedName name="IQ_TARP_ROUND" hidden="1">"c17859"</definedName>
    <definedName name="IQ_TARP_STATUS" hidden="1">"c17864"</definedName>
    <definedName name="IQ_TARP_TR_AMT" hidden="1">"c17857"</definedName>
    <definedName name="IQ_TARP_TR_DATE" hidden="1">"c17856"</definedName>
    <definedName name="IQ_TARP_TR_TYPE" hidden="1">"c17858"</definedName>
    <definedName name="IQ_TARP_TRANSACTION_ID" hidden="1">"c17871"</definedName>
    <definedName name="IQ_TEV_EBITDA_CAPEX" hidden="1">"c17553"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RATIO_THRIFT" hidden="1">"c25081"</definedName>
    <definedName name="IQ_TIER_1_CAPITAL_REQUIREMENT_ADJUSTED_ASSETS_THRIFT" hidden="1">"c25039"</definedName>
    <definedName name="IQ_TIER_1_CAPITAL_T1_THRIFT" hidden="1">"c25029"</definedName>
    <definedName name="IQ_TIER_1_RISK_BASED_CAPITAL_RATIO_FDIC" hidden="1">"c6746"</definedName>
    <definedName name="IQ_TIER_1_RISK_BASED_CAPITAL_RATIO_THRIFT" hidden="1">"c25083"</definedName>
    <definedName name="IQ_TIER_2_CAPITAL_T2_THRIFT" hidden="1">"c25045"</definedName>
    <definedName name="IQ_TIER_ONE_FDIC" hidden="1">"c6369"</definedName>
    <definedName name="IQ_TIME_DEPOSITS_100000_MORE_TOTAL_ASSETS_THRIFT" hidden="1">"c25701"</definedName>
    <definedName name="IQ_TIME_DEPOSITS_100000_THROUGH_250000_THRIFT" hidden="1">"c25002"</definedName>
    <definedName name="IQ_TIME_DEPOSITS_GREATER_100000_TOTAL_DEPOSITS_THRIFT" hidden="1">"c25779"</definedName>
    <definedName name="IQ_TIME_DEPOSITS_GREATER_THAN_250000_THRIFT" hidden="1">"c25003"</definedName>
    <definedName name="IQ_TIME_DEPOSITS_LESS_THAN_100K_FDIC" hidden="1">"c6465"</definedName>
    <definedName name="IQ_TIME_DEPOSITS_MORE_THAN_100K_FDIC" hidden="1">"c6470"</definedName>
    <definedName name="IQ_TIME_DEPOSITS_THRIFT" hidden="1">"c25001"</definedName>
    <definedName name="IQ_TODAY" hidden="1">0</definedName>
    <definedName name="IQ_TOTAL_1_4_FAMILY_LOANS_TOTAL_LOANS_THRIFT" hidden="1">"c25741"</definedName>
    <definedName name="IQ_TOTAL_ALLOWABLE_EXCLUSIONS_THRIFT" hidden="1">"c25567"</definedName>
    <definedName name="IQ_TOTAL_AR_CM" hidden="1">"c1231"</definedName>
    <definedName name="IQ_TOTAL_ASSETS_ADJUSTED_ASSETS_THRIFT" hidden="1">"c25030"</definedName>
    <definedName name="IQ_TOTAL_ASSETS_FDIC" hidden="1">"c6339"</definedName>
    <definedName name="IQ_TOTAL_ASSETS_MANAGED_PROP_MUTUAL_FUNDS_ANNUITIES_THRIFT" hidden="1">"c24941"</definedName>
    <definedName name="IQ_TOTAL_ASSETS_MEASURED_FV_RECURRING_BASIS_AMOUNTS_NETTED_THRIFT" hidden="1">"c25522"</definedName>
    <definedName name="IQ_TOTAL_ASSETS_MEASURED_FV_RECURRING_BASIS_LEVEL_1_THRIFT" hidden="1">"c25518"</definedName>
    <definedName name="IQ_TOTAL_ASSETS_MEASURED_FV_RECURRING_BASIS_LEVEL_2_THRIFT" hidden="1">"c25519"</definedName>
    <definedName name="IQ_TOTAL_ASSETS_MEASURED_FV_RECURRING_BASIS_LEVEL_3_THRIFT" hidden="1">"c25520"</definedName>
    <definedName name="IQ_TOTAL_ASSETS_MEASURED_FV_RECURRING_BASIS_TOTAL_AFTER_NETTING_THRIFT" hidden="1">"c25523"</definedName>
    <definedName name="IQ_TOTAL_ASSETS_MEASURED_FV_RECURRING_BASIS_TOTAL_BEFORE_NETTING_THRIFT" hidden="1">"c25521"</definedName>
    <definedName name="IQ_TOTAL_ASSETS_THRIFT" hidden="1">"c24894"</definedName>
    <definedName name="IQ_TOTAL_BORROWINGS_THRIFT" hidden="1">"c24899"</definedName>
    <definedName name="IQ_TOTAL_BROKER_ORIGINATED_DEPOSITS_FULLY_INSURED_THRIFT" hidden="1">"c24978"</definedName>
    <definedName name="IQ_TOTAL_BROKER_ORIGINATED_DEPOSITS_OTHER_THRIFT" hidden="1">"c24981"</definedName>
    <definedName name="IQ_TOTAL_CASH_DEPOSITS_INV_SEC_THRIFT" hidden="1">"c24828"</definedName>
    <definedName name="IQ_TOTAL_CHARGE_OFFS_FDIC" hidden="1">"c6603"</definedName>
    <definedName name="IQ_TOTAL_COMMON_EQUITY_THRIFT" hidden="1">"c25085"</definedName>
    <definedName name="IQ_TOTAL_COMMON_EQUITY_TOTAL_ASSETS_THRIFT" hidden="1">"c25739"</definedName>
    <definedName name="IQ_TOTAL_DAILY_AVERAGE_ALLOWABLE_EXCLUSIONS_THRIFT" hidden="1">"c25580"</definedName>
    <definedName name="IQ_TOTAL_DAILY_AVERAGE_FOREIGN_DEPOSITS_THRIFT" hidden="1">"c25581"</definedName>
    <definedName name="IQ_TOTAL_DAILY_AVERAGE_GROSS_DEPOSIT_LIABILITIES_BEFORE_EXCLUSIONS_THRIFT" hidden="1">"c25579"</definedName>
    <definedName name="IQ_TOTAL_DEBT_ISSUED_CM" hidden="1">"c1253"</definedName>
    <definedName name="IQ_TOTAL_DEBT_REPAID_CM" hidden="1">"c1260"</definedName>
    <definedName name="IQ_TOTAL_DEBT_SECURITIES_FDIC" hidden="1">"c6410"</definedName>
    <definedName name="IQ_TOTAL_DEPOSITS_FDIC" hidden="1">"c6342"</definedName>
    <definedName name="IQ_TOTAL_DEPOSITS_THRIFT" hidden="1">"c24984"</definedName>
    <definedName name="IQ_TOTAL_DIVIDEND_INCOME_THRIFT" hidden="1">"c24756"</definedName>
    <definedName name="IQ_TOTAL_EARNING_ASSETS_QUARTERLY_AVG_FFIEC" hidden="1">"c25823"</definedName>
    <definedName name="IQ_TOTAL_ELIGIBLE_0_PCT_RISK_WEIGHT_THRIFT" hidden="1">"c25050"</definedName>
    <definedName name="IQ_TOTAL_ELIGIBLE_100_PCT_RISK_WEIGHT_THRIFT" hidden="1">"c25070"</definedName>
    <definedName name="IQ_TOTAL_ELIGIBLE_20_PCT_RISK_WEIGHT_THRIFT" hidden="1">"c25056"</definedName>
    <definedName name="IQ_TOTAL_ELIGIBLE_50_PCT_RISK_WEIGHT_THRIFT" hidden="1">"c25063"</definedName>
    <definedName name="IQ_TOTAL_EMPLOYEES_FDIC" hidden="1">"c6355"</definedName>
    <definedName name="IQ_TOTAL_EQUITY_CAPITAL_INC_MINORITY_INT_THRIFT" hidden="1">"c24927"</definedName>
    <definedName name="IQ_TOTAL_EQUITY_CAPITAL_T1_THRIFT" hidden="1">"c25021"</definedName>
    <definedName name="IQ_TOTAL_EQUITY_CAPITAL_THRIFT" hidden="1">"c24925"</definedName>
    <definedName name="IQ_TOTAL_EQUITY_INV_NOT_CARRIED_FV_THRIFT" hidden="1">"c24879"</definedName>
    <definedName name="IQ_TOTAL_EQUITY_TOTAL_ASSETS_THRIFT" hidden="1">"c25738"</definedName>
    <definedName name="IQ_TOTAL_FIDUCIARY_ACCOUNTS_MANAGED_ASSETS_THRIFT" hidden="1">"c25346"</definedName>
    <definedName name="IQ_TOTAL_FIDUCIARY_ACCOUNTS_NONMANAGED_ASSETS_THRIFT" hidden="1">"c25367"</definedName>
    <definedName name="IQ_TOTAL_FIDUCIARY_ACCOUNTS_NUMBER_MANAGED_ACCOUNTS_THRIFT" hidden="1">"c25357"</definedName>
    <definedName name="IQ_TOTAL_FIDUCIARY_ACCOUNTS_NUMBER_NONMANAGED_ACCOUNTS_THRIFT" hidden="1">"c25379"</definedName>
    <definedName name="IQ_TOTAL_FOREIGN_DEPOSITS_INCLUDED_IN_TOTAL_ALLOWABLE_EXCLUSIONS_THRIFT" hidden="1">"c25568"</definedName>
    <definedName name="IQ_TOTAL_GROSS_DEPOSIT_LIABILITIES_BEFORE_EXCLUSIONS_THRIFT" hidden="1">"c25566"</definedName>
    <definedName name="IQ_TOTAL_GROSS_FIDUCIARY_RELATED_SERVICES_INC_THRIFT" hidden="1">"c24811"</definedName>
    <definedName name="IQ_TOTAL_GROSS_LOSSES_MANAGED_ACCOUNTS_THRIFT" hidden="1">"c25465"</definedName>
    <definedName name="IQ_TOTAL_GROSS_LOSSES_NONMANAGED_ACCOUNTS_THRIFT" hidden="1">"c25470"</definedName>
    <definedName name="IQ_TOTAL_INT_EXP_THRIFT" hidden="1">"c24764"</definedName>
    <definedName name="IQ_TOTAL_INT_INCOME_THRIFT" hidden="1">"c24753"</definedName>
    <definedName name="IQ_TOTAL_LEASES_TOTAL_LOANS_THRIFT" hidden="1">"c25751"</definedName>
    <definedName name="IQ_TOTAL_LIAB_CM" hidden="1">"c1278"</definedName>
    <definedName name="IQ_TOTAL_LIAB_EQUITY_FDIC" hidden="1">"c6354"</definedName>
    <definedName name="IQ_TOTAL_LIABILITIES_EQUITY_THRIFT" hidden="1">"c24928"</definedName>
    <definedName name="IQ_TOTAL_LIABILITIES_FDIC" hidden="1">"c6348"</definedName>
    <definedName name="IQ_TOTAL_LIABILITIES_MEASURED_FV_RECURRING_BASIS_AMOUNTS_NETTED_THRIFT" hidden="1">"c25564"</definedName>
    <definedName name="IQ_TOTAL_LIABILITIES_MEASURED_FV_RECURRING_BASIS_LEVEL_1_THRIFT" hidden="1">"c25560"</definedName>
    <definedName name="IQ_TOTAL_LIABILITIES_MEASURED_FV_RECURRING_BASIS_LEVEL_2_THRIFT" hidden="1">"c25561"</definedName>
    <definedName name="IQ_TOTAL_LIABILITIES_MEASURED_FV_RECURRING_BASIS_LEVEL_3_THRIFT" hidden="1">"c25562"</definedName>
    <definedName name="IQ_TOTAL_LIABILITIES_MEASURED_FV_RECURRING_BASIS_TOTAL_AFTER_NETTING_THRIFT" hidden="1">"c25565"</definedName>
    <definedName name="IQ_TOTAL_LIABILITIES_MEASURED_FV_RECURRING_BASIS_TOTAL_BEFORE_NETTING_THRIFT" hidden="1">"c25563"</definedName>
    <definedName name="IQ_TOTAL_LIABILITIES_THRIFT" hidden="1">"c24913"</definedName>
    <definedName name="IQ_TOTAL_LL_DOMESTIC_QUARTERLY_AVG_FFIEC" hidden="1">"c25825"</definedName>
    <definedName name="IQ_TOTAL_LL_FOREIGN_QUARTERLY_AVG_FFIEC" hidden="1">"c25824"</definedName>
    <definedName name="IQ_TOTAL_LOANS_IN_PROCESS_FORECLOSURE_THRIFT" hidden="1">"c25310"</definedName>
    <definedName name="IQ_TOTAL_MANAGED_ASSETS_ALL_OTHER_ACCOUNTS_THRIFT" hidden="1">"c25422"</definedName>
    <definedName name="IQ_TOTAL_MANAGED_ASSETS_EMPLOYEE_BENEFIT_RETIREMENT_RELATED_ACCOUNTS_THRIFT" hidden="1">"c25406"</definedName>
    <definedName name="IQ_TOTAL_MANAGED_ASSETS_PERSONAL_TRUST_AGENCY_INV_MANAGEMENT_ACCOUNTS_THRIFT" hidden="1">"c25390"</definedName>
    <definedName name="IQ_TOTAL_MBS_THRIFT" hidden="1">"c24837"</definedName>
    <definedName name="IQ_TOTAL_MORTGAGE_LOANS_THRIFT" hidden="1">"c24852"</definedName>
    <definedName name="IQ_TOTAL_MORTGAGE_NON_MORTGAGE_LOANS_DUE_30_89_THRIFT" hidden="1">"c25255"</definedName>
    <definedName name="IQ_TOTAL_MORTGAGE_NON_MORTGAGE_LOANS_DUE_90_THRIFT" hidden="1">"c25276"</definedName>
    <definedName name="IQ_TOTAL_MORTGAGE_NON_MORTGAGE_LOANS_NON_ACCRUAL_THRIFT" hidden="1">"c25297"</definedName>
    <definedName name="IQ_TOTAL_NON_MORTGAGE_LOANS_THRIFT" hidden="1">"c24868"</definedName>
    <definedName name="IQ_TOTAL_NON_RE_LOANS_TOTAL_LOANS_THRIFT" hidden="1">"c25752"</definedName>
    <definedName name="IQ_TOTAL_OPER_EXP_CM" hidden="1">"c1284"</definedName>
    <definedName name="IQ_TOTAL_OTHER_ASSETS_THRIFT" hidden="1">"c24883"</definedName>
    <definedName name="IQ_TOTAL_OTHER_TEMP_IMPAIR_LOSS_FFIEC" hidden="1">"c25846"</definedName>
    <definedName name="IQ_TOTAL_OTHER_UNUSED_FFIEC" hidden="1">"c25858"</definedName>
    <definedName name="IQ_TOTAL_PRINCIPAL_AMT_ASSETS_COVERED_RECOURSE_OBLIGATIONS_DIRECT_CREDIT_SUBSTITUTES_THRIFT" hidden="1">"c25615"</definedName>
    <definedName name="IQ_TOTAL_RECOVERIES_FDIC" hidden="1">"c6622"</definedName>
    <definedName name="IQ_TOTAL_RECOVERIES_THRIFT" hidden="1">"c25475"</definedName>
    <definedName name="IQ_TOTAL_RESERVES" hidden="1">"c21102"</definedName>
    <definedName name="IQ_TOTAL_REV_BNK_FDIC" hidden="1">"c6786"</definedName>
    <definedName name="IQ_TOTAL_REV_CM" hidden="1">"c1303"</definedName>
    <definedName name="IQ_TOTAL_REVENUE_THRIFT" hidden="1">"c24785"</definedName>
    <definedName name="IQ_TOTAL_RISK_BASED_CAPITAL_RATIO_FDIC" hidden="1">"c6747"</definedName>
    <definedName name="IQ_TOTAL_RISK_BASED_CAPITAL_RATIO_THRIFT" hidden="1">"c25082"</definedName>
    <definedName name="IQ_TOTAL_RISK_BASED_CAPITAL_REQUIREMENT_THRIFT" hidden="1">"c25080"</definedName>
    <definedName name="IQ_TOTAL_RISK_BASED_CAPITAL_THRIFT" hidden="1">"c25049"</definedName>
    <definedName name="IQ_TOTAL_RISK_WEIGHTED_ASSETS_THRIFT" hidden="1">"c25079"</definedName>
    <definedName name="IQ_TOTAL_SECURITIES_FDIC" hidden="1">"c6306"</definedName>
    <definedName name="IQ_TOTAL_SR_SECURED" hidden="1">"c17890"</definedName>
    <definedName name="IQ_TOTAL_SR_SECURED_EBITDA" hidden="1">"c17901"</definedName>
    <definedName name="IQ_TOTAL_SR_SECURED_EBITDA_CAPEX" hidden="1">"c17902"</definedName>
    <definedName name="IQ_TOTAL_SR_SECURED_PCT" hidden="1">"c18004"</definedName>
    <definedName name="IQ_TOTAL_TIME_DEPOSITS_FDIC" hidden="1">"c6497"</definedName>
    <definedName name="IQ_TOTAL_TIME_DEPOSITS_TOTAL_DEPOSITS_THRIFT" hidden="1">"c25780"</definedName>
    <definedName name="IQ_TOTAL_TIME_SAVINGS_DEPOSITS_FDIC" hidden="1">"c6498"</definedName>
    <definedName name="IQ_TOTAL_UNUSED_COMMITMENTS_FDIC" hidden="1">"c6536"</definedName>
    <definedName name="IQ_TOTAL_UNUSUAL_CM" hidden="1">"c5517"</definedName>
    <definedName name="IQ_TR_ADJ_SIZE_FINAL" hidden="1">"c16265"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CASH_CONSID_PCT_FINAL" hidden="1">"c16268"</definedName>
    <definedName name="IQ_TR_CASH_ST_INVEST_FINAL" hidden="1">"c16266"</definedName>
    <definedName name="IQ_TR_CO_NET_PROCEEDS_ISSUE" hidden="1">"c17571"</definedName>
    <definedName name="IQ_TR_DEBT_CONSID_PCT_FINAL" hidden="1">"c16274"</definedName>
    <definedName name="IQ_TR_EARNOUTS_FINAL" hidden="1">"c16262"</definedName>
    <definedName name="IQ_TR_EX_OVER_SHARES_ISSUE" hidden="1">"c17566"</definedName>
    <definedName name="IQ_TR_GROSS_PROCEEDS_ISSUE" hidden="1">"c17568"</definedName>
    <definedName name="IQ_TR_HYBRID_CONSID_PCT_FINAL" hidden="1">"c16276"</definedName>
    <definedName name="IQ_TR_IMPLIED_EQ_BV_FINAL" hidden="1">"c16255"</definedName>
    <definedName name="IQ_TR_IMPLIED_EQ_FINAL" hidden="1">"c16253"</definedName>
    <definedName name="IQ_TR_IMPLIED_EQ_NI_LTM_FINAL" hidden="1">"c16254"</definedName>
    <definedName name="IQ_TR_IMPLIED_EV_EBIT_FINAL" hidden="1">"c16252"</definedName>
    <definedName name="IQ_TR_IMPLIED_EV_EBIT_FWD" hidden="1">"c17878"</definedName>
    <definedName name="IQ_TR_IMPLIED_EV_EBITDA_FINAL" hidden="1">"c16251"</definedName>
    <definedName name="IQ_TR_IMPLIED_EV_EBITDA_FWD" hidden="1">"c17877"</definedName>
    <definedName name="IQ_TR_IMPLIED_EV_FINAL" hidden="1">"c16249"</definedName>
    <definedName name="IQ_TR_IMPLIED_EV_REV_FINAL" hidden="1">"c16250"</definedName>
    <definedName name="IQ_TR_IMPLIED_EV_REV_FWD" hidden="1">"c17876"</definedName>
    <definedName name="IQ_TR_IPO_TRANSACTION_ID" hidden="1">"c17554"</definedName>
    <definedName name="IQ_TR_LEAD_UNDERWRITERS" hidden="1">"c17576"</definedName>
    <definedName name="IQ_TR_NET_ASSUM_LIABILITIES_FINAL" hidden="1">"c16264"</definedName>
    <definedName name="IQ_TR_OFFER_PER_SHARE_FINAL" hidden="1">"c16257"</definedName>
    <definedName name="IQ_TR_OFFER_PRICE_BV_FWD" hidden="1">"c17880"</definedName>
    <definedName name="IQ_TR_OFFER_PRICE_EARNINGS_FWD" hidden="1">"c17879"</definedName>
    <definedName name="IQ_TR_OPTIONS_CONSID_PCT_FINAL" hidden="1">"c16278"</definedName>
    <definedName name="IQ_TR_OTHER_CONSID_FINAL" hidden="1">"c16261"</definedName>
    <definedName name="IQ_TR_PCT_SOUGHT_ACQUIRED_FINAL" hidden="1">"c16256"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REF_CONSID_PCT_FINAL" hidden="1">"c16272"</definedName>
    <definedName name="IQ_TR_PROCEEDS_EX_OVER_ISSUE" hidden="1">"c17574"</definedName>
    <definedName name="IQ_TR_REG_OVER_SHARES_ISSUE" hidden="1">"c17565"</definedName>
    <definedName name="IQ_TR_REG_OVER_VALUE_ISSUE" hidden="1">"c17572"</definedName>
    <definedName name="IQ_TR_REMAIN_MONETARY_VALUE" hidden="1">"c18099"</definedName>
    <definedName name="IQ_TR_REMAIN_NUMBER_SHARES" hidden="1">"c18101"</definedName>
    <definedName name="IQ_TR_REMAIN_PCT_SHARES" hidden="1">"c18100"</definedName>
    <definedName name="IQ_TR_SELLER_DILUT_EPS_EXCL" hidden="1">"c17703"</definedName>
    <definedName name="IQ_TR_SELLER_EARNING_CO" hidden="1">"c17702"</definedName>
    <definedName name="IQ_TR_SELLER_EBIT" hidden="1">"c17700"</definedName>
    <definedName name="IQ_TR_SELLER_EBITDA" hidden="1">"c17699"</definedName>
    <definedName name="IQ_TR_SELLER_MIN_INT" hidden="1">"c17707"</definedName>
    <definedName name="IQ_TR_SELLER_NET_DEBT" hidden="1">"c17709"</definedName>
    <definedName name="IQ_TR_SELLER_NI" hidden="1">"c17701"</definedName>
    <definedName name="IQ_TR_SELLER_TOTAL_ASSETS" hidden="1">"c17710"</definedName>
    <definedName name="IQ_TR_SELLER_TOTAL_CASH_ST_INVEST" hidden="1">"c17708"</definedName>
    <definedName name="IQ_TR_SELLER_TOTAL_COMMON_EQ" hidden="1">"c17704"</definedName>
    <definedName name="IQ_TR_SELLER_TOTAL_DEBT" hidden="1">"c17705"</definedName>
    <definedName name="IQ_TR_SELLER_TOTAL_PREF" hidden="1">"c17706"</definedName>
    <definedName name="IQ_TR_SELLER_TOTAL_REV" hidden="1">"c17698"</definedName>
    <definedName name="IQ_TR_SH_NET_PROCEEDS_ISSUE" hidden="1">"c17570"</definedName>
    <definedName name="IQ_TR_SHELF_EXP_EXPIRATION_DATE" hidden="1">"c18102"</definedName>
    <definedName name="IQ_TR_SHELF_EXPIRED_DATE" hidden="1">"c18103"</definedName>
    <definedName name="IQ_TR_SPIN_DEF_AGRMT_DATE" hidden="1">"c17696"</definedName>
    <definedName name="IQ_TR_SPIN_DIST_RATIO_FINAL" hidden="1">"c17734"</definedName>
    <definedName name="IQ_TR_SPIN_DIST_RATIO_OFFER" hidden="1">"c17728"</definedName>
    <definedName name="IQ_TR_SPIN_DIST_SHARES_FINAL" hidden="1">"c17852"</definedName>
    <definedName name="IQ_TR_SPIN_DIST_SHARES_OFFER" hidden="1">"c17729"</definedName>
    <definedName name="IQ_TR_SPIN_DIST_VALUE" hidden="1">"c17711"</definedName>
    <definedName name="IQ_TR_SPIN_DIST_VALUE_FINAL" hidden="1">"c17722"</definedName>
    <definedName name="IQ_TR_SPIN_DIST_VALUE_OFFER" hidden="1">"c17712"</definedName>
    <definedName name="IQ_TR_SPIN_IMPLIED_EQ_BV_OFFER" hidden="1">"c17721"</definedName>
    <definedName name="IQ_TR_SPIN_IMPLIED_EQ_NI_LTM_OFFER" hidden="1">"c17720"</definedName>
    <definedName name="IQ_TR_SPIN_IMPLIED_EQ_OFFER" hidden="1">"c17714"</definedName>
    <definedName name="IQ_TR_SPIN_IMPLIED_EV_EBIT_OFFER" hidden="1">"c17719"</definedName>
    <definedName name="IQ_TR_SPIN_IMPLIED_EV_EBITDA_OFFER" hidden="1">"c17718"</definedName>
    <definedName name="IQ_TR_SPIN_IMPLIED_EV_OFFER" hidden="1">"c17716"</definedName>
    <definedName name="IQ_TR_SPIN_IMPLIED_EV_REV_OFFER" hidden="1">"c17717"</definedName>
    <definedName name="IQ_TR_SPIN_NET_ASSUM_LIAB_OFFER" hidden="1">"c17715"</definedName>
    <definedName name="IQ_TR_SPIN_PARENT_SHARES_OUT_FINAL" hidden="1">"c17733"</definedName>
    <definedName name="IQ_TR_SPIN_PARENT_SHARES_OUT_OFFER" hidden="1">"c17727"</definedName>
    <definedName name="IQ_TR_SPIN_PCT_DIST_FINAL" hidden="1">"c17723"</definedName>
    <definedName name="IQ_TR_SPIN_PCT_DIST_OFFER" hidden="1">"c17713"</definedName>
    <definedName name="IQ_TR_SPIN_RECORD_DATE" hidden="1">"c17697"</definedName>
    <definedName name="IQ_TR_SPIN_SECURITY_CIQID" hidden="1">"c17724"</definedName>
    <definedName name="IQ_TR_SPIN_SECURITY_PCT_DIST_FINAL" hidden="1">"c17732"</definedName>
    <definedName name="IQ_TR_SPIN_SECURITY_PCT_DIST_OFFER" hidden="1">"c17726"</definedName>
    <definedName name="IQ_TR_SPIN_SECURITY_PRICE_FINAL" hidden="1">"c17731"</definedName>
    <definedName name="IQ_TR_SPIN_SECURITY_PRICE_OFFER" hidden="1">"c17725"</definedName>
    <definedName name="IQ_TR_SPIN_VALUE_CONSID_FINAL" hidden="1">"c17853"</definedName>
    <definedName name="IQ_TR_SPIN_VALUE_CONSID_OFFER" hidden="1">"c17730"</definedName>
    <definedName name="IQ_TR_STOCK_CONSID_PCT_FINAL" hidden="1">"c16270"</definedName>
    <definedName name="IQ_TR_TARGET_BV_SHARE_EST" hidden="1">"c17885"</definedName>
    <definedName name="IQ_TR_TARGET_EBIT_EST" hidden="1">"c17883"</definedName>
    <definedName name="IQ_TR_TARGET_EBITDA_EST" hidden="1">"c17882"</definedName>
    <definedName name="IQ_TR_TARGET_EPS_EST" hidden="1">"c17884"</definedName>
    <definedName name="IQ_TR_TARGET_EST_CURRENCY" hidden="1">"c17886"</definedName>
    <definedName name="IQ_TR_TARGET_EST_DATE" hidden="1">"c17887"</definedName>
    <definedName name="IQ_TR_TARGET_REVENUE_EST" hidden="1">"c17881"</definedName>
    <definedName name="IQ_TR_TOTAL_CASH_FINAL" hidden="1">"c16267"</definedName>
    <definedName name="IQ_TR_TOTAL_CONSID_SH_FINAL" hidden="1">"c16260"</definedName>
    <definedName name="IQ_TR_TOTAL_DEBT_FINAL" hidden="1">"c16273"</definedName>
    <definedName name="IQ_TR_TOTAL_EX_OVER_VALUE_ISSUE" hidden="1">"c17573"</definedName>
    <definedName name="IQ_TR_TOTAL_GROSS_TV_FINAL" hidden="1">"c16259"</definedName>
    <definedName name="IQ_TR_TOTAL_HYBRID_FINAL" hidden="1">"c16275"</definedName>
    <definedName name="IQ_TR_TOTAL_NET_TV_FINAL" hidden="1">"c16258"</definedName>
    <definedName name="IQ_TR_TOTAL_OPTIONS_BUYER_FINAL" hidden="1">"c16277"</definedName>
    <definedName name="IQ_TR_TOTAL_OPTIONS_FINAL" hidden="1">"c16263"</definedName>
    <definedName name="IQ_TR_TOTAL_PREFERRED_FINAL" hidden="1">"c16271"</definedName>
    <definedName name="IQ_TR_TOTAL_STOCK_FINAL" hidden="1">"c16269"</definedName>
    <definedName name="IQ_TR_UNDERWRITER_COMP_ISSUE" hidden="1">"c17569"</definedName>
    <definedName name="IQ_TR_UNDERWRITERS_OTHER" hidden="1">"c17577"</definedName>
    <definedName name="IQ_TRADE_BALANCE_USD" hidden="1">"c21103"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DING_SEC_AMOUNTS_NETTED_THRIFT" hidden="1">"c25486"</definedName>
    <definedName name="IQ_TRADING_SEC_LEVEL_1_THRIFT" hidden="1">"c25482"</definedName>
    <definedName name="IQ_TRADING_SEC_LEVEL_2_THRIFT" hidden="1">"c25483"</definedName>
    <definedName name="IQ_TRADING_SEC_LEVEL_3_THRIFT" hidden="1">"c25484"</definedName>
    <definedName name="IQ_TRADING_SEC_TOTAL_AFTER_NETTING_THRIFT" hidden="1">"c25487"</definedName>
    <definedName name="IQ_TRADING_SEC_TOTAL_BEFORE_NETTING_THRIFT" hidden="1">"c25485"</definedName>
    <definedName name="IQ_TRANSACTION_ACCOUNTS_FDIC" hidden="1">"c6544"</definedName>
    <definedName name="IQ_TRANSACTION_ACCOUNTS_INC_DEMAND_DEPOSITS_THRIFT" hidden="1">"c24998"</definedName>
    <definedName name="IQ_TRANSACTION_ACCOUNTS_TOTAL_DEPOSITS_THRIFT" hidden="1">"c25777"</definedName>
    <definedName name="IQ_TRANSFER_AGENT_REGISTRAR_PAYING_AGENT_OTHER_CORPORATE_AGENCY_NUMBER_ISSUES_THRIFT" hidden="1">"c25444"</definedName>
    <definedName name="IQ_TRANSFERS_GVA_THRIFT" hidden="1">"c25093"</definedName>
    <definedName name="IQ_TRANSFERS_SVA_THRIFT" hidden="1">"c25101"</definedName>
    <definedName name="IQ_TREASURY_OTHER_EQUITY_CM" hidden="1">"c1314"</definedName>
    <definedName name="IQ_TREASURY_STOCK_TRANSACTIONS_FDIC" hidden="1">"c6501"</definedName>
    <definedName name="IQ_TROUBLED_DEBT_RESTRUCTURED_DUE_30_89_THRIFT" hidden="1">"c25256"</definedName>
    <definedName name="IQ_TROUBLED_DEBT_RESTRUCTURED_DUE_90_THRIFT" hidden="1">"c25277"</definedName>
    <definedName name="IQ_TROUBLED_DEBT_RESTRUCTURED_NON_ACCRUAL_THRIFT" hidden="1">"c25298"</definedName>
    <definedName name="IQ_TROUBLED_DEBT_RESTRUCTURED_THRIFT" hidden="1">"c25230"</definedName>
    <definedName name="IQ_TWELVE_MONTHS_FIXED_AND_FLOATING_FDIC" hidden="1">"c6420"</definedName>
    <definedName name="IQ_TWELVE_MONTHS_MORTGAGE_PASS_THROUGHS_FDIC" hidden="1">"c6412"</definedName>
    <definedName name="IQ_UNAMORTIZED_YIELD_ADJUSTMENTS_THRIFT" hidden="1">"c24898"</definedName>
    <definedName name="IQ_UNDIVIDED_PROFITS_FDIC" hidden="1">"c6352"</definedName>
    <definedName name="IQ_UNDRAWN_SECURITIZED" hidden="1">"c17900"</definedName>
    <definedName name="IQ_UNEARN_REV_CURRENT_CM" hidden="1">"c1324"</definedName>
    <definedName name="IQ_UNEARNED_INCOME_FDIC" hidden="1">"c6324"</definedName>
    <definedName name="IQ_UNEARNED_INCOME_FOREIGN_FDIC" hidden="1">"c6385"</definedName>
    <definedName name="IQ_UNEMPLOY_RATE" hidden="1">"c21104"</definedName>
    <definedName name="IQ_UNINSURED_DEPOSITS_THRIFT" hidden="1">"c24995"</definedName>
    <definedName name="IQ_UNPROFITABLE_INSTITUTIONS_FDIC" hidden="1">"c6722"</definedName>
    <definedName name="IQ_UNREALIZED_GAINS_AFS_EQUITY_SEC_T2_THRIFT" hidden="1">"c25040"</definedName>
    <definedName name="IQ_UNSECURED_COMMERCIAL_LOANS_THRIFT" hidden="1">"c24855"</definedName>
    <definedName name="IQ_UNSECURED_FEDERAL_FUNDS_PURCHASED_THRIFT" hidden="1">"c25572"</definedName>
    <definedName name="IQ_UNSECURED_OTHER_BORROWINGS_WITH_REMAINING_MATURITY_ONE_YEAR_LESS_THRIFT" hidden="1">"c25575"</definedName>
    <definedName name="IQ_UNSECURED_OTHER_BORROWINGS_WITH_REMAINING_MATURITY_OVER_ONE_YEAR_THRIFT" hidden="1">"c25576"</definedName>
    <definedName name="IQ_UNUSED_LINES_CREDIT_COMM_LINES_THRIFT" hidden="1">"c25607"</definedName>
    <definedName name="IQ_UNUSED_LINES_CREDIT_REVOLVING_OPEN_END_LOANS_1_4_DWELLING_UNITS_THRIFT" hidden="1">"c25606"</definedName>
    <definedName name="IQ_UNUSED_LINES_CREDIT_THRIFT" hidden="1">"c25605"</definedName>
    <definedName name="IQ_UNUSED_LOAN_COMMITMENTS_FDIC" hidden="1">"c6368"</definedName>
    <definedName name="IQ_US_AGENCY_OBLIG_HTM_AMORT_COST_FFIEC" hidden="1">"c20438"</definedName>
    <definedName name="IQ_US_AGENCY_OBLIG_HTM_FAIR_VAL_FFIEC" hidden="1">"c20473"</definedName>
    <definedName name="IQ_US_AGENCY_OBLIGATIONS_AFS_AMORT_COST_FFIEC" hidden="1">"c20490"</definedName>
    <definedName name="IQ_US_AGENCY_OBLIGATIONS_AFS_FAIR_VAL_FFIEC" hidden="1">"c20455"</definedName>
    <definedName name="IQ_US_AGENCY_SPONSORED_ENTERPRISE_SEC_THRIFT" hidden="1">"c24822"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AGENCY_SPONSORED_ENTERPRISE_SEC_INV_SEC_THRIFT" hidden="1">"c25671"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URITIES_FDIC" hidden="1">"c6298"</definedName>
    <definedName name="IQ_US_TREASURY_SECURITIES_HTM_AMORT_COST_FFIEC" hidden="1">"c20437"</definedName>
    <definedName name="IQ_US_TREASURY_SECURITIES_HTM_FAIR_VAL_FFIEC" hidden="1">"c20472"</definedName>
    <definedName name="IQ_US_TREASURY_US_GOVT_AGENCY_OBLIGATIONS_ALL_OTHER_ACCOUNTS_THRIFT" hidden="1">"c25425"</definedName>
    <definedName name="IQ_US_TREASURY_US_GOVT_AGENCY_OBLIGATIONS_EMPLOYEE_BENEFIT_RETIREMENT_RELATED_ACCOUNTS_THRIFT" hidden="1">"c25409"</definedName>
    <definedName name="IQ_US_TREASURY_US_GOVT_AGENCY_OBLIGATIONS_PERSONAL_TRUST_AGENCY_INV_MANAGEMENT_ACCOUNTS_THRIFT" hidden="1">"c25393"</definedName>
    <definedName name="IQ_VALUATION_ALLOWANCES_FDIC" hidden="1">"c6400"</definedName>
    <definedName name="IQ_VALUE_CUSTOMER_ASSETS" hidden="1">"c20433"</definedName>
    <definedName name="IQ_VARIABLE_RATE_DEBT" hidden="1">"c17895"</definedName>
    <definedName name="IQ_VARIABLE_RATE_DEBT_PCT" hidden="1">"c18009"</definedName>
    <definedName name="IQ_VC_REVENUE_FDIC" hidden="1">"c6667"</definedName>
    <definedName name="IQ_VOLATILE_LIABILITIES_FDIC" hidden="1">"c6364"</definedName>
    <definedName name="IQ_WAR_TOTAL_AGG_INT_VALUE_EXER" hidden="1">"c18465"</definedName>
    <definedName name="IQ_WAR_TOTAL_AGG_INT_VALUE_OUT" hidden="1">"c18461"</definedName>
    <definedName name="IQ_WAR_TOTAL_NUM_EXER" hidden="1">"c18463"</definedName>
    <definedName name="IQ_WAR_TOTAL_NUM_OUT" hidden="1">"c18459"</definedName>
    <definedName name="IQ_WAR_TOTAL_PLAN_NAME" hidden="1">"c18469"</definedName>
    <definedName name="IQ_WAR_TOTAL_PRICE_HIGH" hidden="1">"c18456"</definedName>
    <definedName name="IQ_WAR_TOTAL_PRICE_LOW" hidden="1">"c18455"</definedName>
    <definedName name="IQ_WAR_TOTAL_PRICE_RANGE" hidden="1">"c18457"</definedName>
    <definedName name="IQ_WAR_TOTAL_WTD_LIFE_EXER" hidden="1">"c18464"</definedName>
    <definedName name="IQ_WAR_TOTAL_WTD_LIFE_OUT" hidden="1">"c18460"</definedName>
    <definedName name="IQ_WAR_TOTAL_WTD_PRICE_EXER" hidden="1">"c18462"</definedName>
    <definedName name="IQ_WAR_TOTAL_WTD_PRICE_OUT" hidden="1">"c18458"</definedName>
    <definedName name="IQ_WAR_TRANCHE_AGG_INT_VALUE_EXER" hidden="1">"c18454"</definedName>
    <definedName name="IQ_WAR_TRANCHE_AGG_INT_VALUE_OUT" hidden="1">"c18450"</definedName>
    <definedName name="IQ_WAR_TRANCHE_CLASS_NAME" hidden="1">"c18443"</definedName>
    <definedName name="IQ_WAR_TRANCHE_NUM_EXER" hidden="1">"c18452"</definedName>
    <definedName name="IQ_WAR_TRANCHE_NUM_OUT" hidden="1">"c18448"</definedName>
    <definedName name="IQ_WAR_TRANCHE_PLAN_NAME" hidden="1">"c18442"</definedName>
    <definedName name="IQ_WAR_TRANCHE_PLAN_RANK" hidden="1">"c18468"</definedName>
    <definedName name="IQ_WAR_TRANCHE_PRICE_HIGH" hidden="1">"c18445"</definedName>
    <definedName name="IQ_WAR_TRANCHE_PRICE_LOW" hidden="1">"c18444"</definedName>
    <definedName name="IQ_WAR_TRANCHE_PRICE_RANGE" hidden="1">"c18446"</definedName>
    <definedName name="IQ_WAR_TRANCHE_WTD_LIFE_EXER" hidden="1">"c18453"</definedName>
    <definedName name="IQ_WAR_TRANCHE_WTD_LIFE_OUT" hidden="1">"c18449"</definedName>
    <definedName name="IQ_WAR_TRANCHE_WTD_PRICE_EXER" hidden="1">"c18451"</definedName>
    <definedName name="IQ_WAR_TRANCHE_WTD_PRICE_OUT" hidden="1">"c18447"</definedName>
    <definedName name="IQ_WEEK" hidden="1">50000</definedName>
    <definedName name="IQ_WHOLESALE_INV_ALCOHOL" hidden="1">"c21105"</definedName>
    <definedName name="IQ_WHOLESALE_INV_APPAREL" hidden="1">"c21106"</definedName>
    <definedName name="IQ_WHOLESALE_INV_CHEMICALS" hidden="1">"c21107"</definedName>
    <definedName name="IQ_WHOLESALE_INV_COMPUTER" hidden="1">"c21108"</definedName>
    <definedName name="IQ_WHOLESALE_INV_DRUGS" hidden="1">"c21109"</definedName>
    <definedName name="IQ_WHOLESALE_INV_DUR" hidden="1">"c21110"</definedName>
    <definedName name="IQ_WHOLESALE_INV_DUR_MISC" hidden="1">"c21111"</definedName>
    <definedName name="IQ_WHOLESALE_INV_ELECTRIC" hidden="1">"c21112"</definedName>
    <definedName name="IQ_WHOLESALE_INV_EQUIP" hidden="1">"c21113"</definedName>
    <definedName name="IQ_WHOLESALE_INV_FARM_PRODUCT" hidden="1">"c21114"</definedName>
    <definedName name="IQ_WHOLESALE_INV_FURNITURE" hidden="1">"c21115"</definedName>
    <definedName name="IQ_WHOLESALE_INV_GROCERIES" hidden="1">"c21116"</definedName>
    <definedName name="IQ_WHOLESALE_INV_HARDWARE" hidden="1">"c21117"</definedName>
    <definedName name="IQ_WHOLESALE_INV_LUMBER" hidden="1">"c21118"</definedName>
    <definedName name="IQ_WHOLESALE_INV_MACHINERY" hidden="1">"c21119"</definedName>
    <definedName name="IQ_WHOLESALE_INV_METALS_MINERALS" hidden="1">"c21120"</definedName>
    <definedName name="IQ_WHOLESALE_INV_MOTOR_VEHICLE" hidden="1">"c21121"</definedName>
    <definedName name="IQ_WHOLESALE_INV_NONDUR" hidden="1">"c21122"</definedName>
    <definedName name="IQ_WHOLESALE_INV_NONDUR_MISC" hidden="1">"c21123"</definedName>
    <definedName name="IQ_WHOLESALE_INV_PAPER" hidden="1">"c21124"</definedName>
    <definedName name="IQ_WHOLESALE_INV_PETROLEUM" hidden="1">"c21125"</definedName>
    <definedName name="IQ_WHOLESALE_INV_SALES_RATIO_ALCOHOL" hidden="1">"c21126"</definedName>
    <definedName name="IQ_WHOLESALE_INV_SALES_RATIO_APPAREL" hidden="1">"c21127"</definedName>
    <definedName name="IQ_WHOLESALE_INV_SALES_RATIO_CHEMICALS" hidden="1">"c21128"</definedName>
    <definedName name="IQ_WHOLESALE_INV_SALES_RATIO_COMPUTER" hidden="1">"c21129"</definedName>
    <definedName name="IQ_WHOLESALE_INV_SALES_RATIO_DRUGS" hidden="1">"c21130"</definedName>
    <definedName name="IQ_WHOLESALE_INV_SALES_RATIO_DUR" hidden="1">"c21131"</definedName>
    <definedName name="IQ_WHOLESALE_INV_SALES_RATIO_DUR_MISC" hidden="1">"c21132"</definedName>
    <definedName name="IQ_WHOLESALE_INV_SALES_RATIO_ELECTRIC" hidden="1">"c21133"</definedName>
    <definedName name="IQ_WHOLESALE_INV_SALES_RATIO_EQUIP" hidden="1">"c21134"</definedName>
    <definedName name="IQ_WHOLESALE_INV_SALES_RATIO_FARM_PRODUCT" hidden="1">"c21135"</definedName>
    <definedName name="IQ_WHOLESALE_INV_SALES_RATIO_FURNITURE" hidden="1">"c21136"</definedName>
    <definedName name="IQ_WHOLESALE_INV_SALES_RATIO_GROCERIES" hidden="1">"c21137"</definedName>
    <definedName name="IQ_WHOLESALE_INV_SALES_RATIO_HARDWARE" hidden="1">"c21138"</definedName>
    <definedName name="IQ_WHOLESALE_INV_SALES_RATIO_LUMBER" hidden="1">"c21139"</definedName>
    <definedName name="IQ_WHOLESALE_INV_SALES_RATIO_MACHINERY" hidden="1">"c21140"</definedName>
    <definedName name="IQ_WHOLESALE_INV_SALES_RATIO_METALS_MINERALS" hidden="1">"c21141"</definedName>
    <definedName name="IQ_WHOLESALE_INV_SALES_RATIO_MOTOR_VEHICLE" hidden="1">"c21142"</definedName>
    <definedName name="IQ_WHOLESALE_INV_SALES_RATIO_NONDUR" hidden="1">"c21143"</definedName>
    <definedName name="IQ_WHOLESALE_INV_SALES_RATIO_NONDUR_MISC" hidden="1">"c21144"</definedName>
    <definedName name="IQ_WHOLESALE_INV_SALES_RATIO_PAPER" hidden="1">"c21145"</definedName>
    <definedName name="IQ_WHOLESALE_INV_SALES_RATIO_PETROLEUM" hidden="1">"c21146"</definedName>
    <definedName name="IQ_WHOLESALE_INV_SALES_RATIO_TOTAL" hidden="1">"c21147"</definedName>
    <definedName name="IQ_WHOLESALE_INV_TOTAL" hidden="1">"c21148"</definedName>
    <definedName name="IQ_WHOLESALE_SALES_ALCOHOL" hidden="1">"c21149"</definedName>
    <definedName name="IQ_WHOLESALE_SALES_APPAREL" hidden="1">"c21150"</definedName>
    <definedName name="IQ_WHOLESALE_SALES_CHEMICALS" hidden="1">"c21151"</definedName>
    <definedName name="IQ_WHOLESALE_SALES_COMPUTER" hidden="1">"c21152"</definedName>
    <definedName name="IQ_WHOLESALE_SALES_DRUGS" hidden="1">"c21153"</definedName>
    <definedName name="IQ_WHOLESALE_SALES_DUR" hidden="1">"c21154"</definedName>
    <definedName name="IQ_WHOLESALE_SALES_DUR_MISC" hidden="1">"c21155"</definedName>
    <definedName name="IQ_WHOLESALE_SALES_ELECTRIC" hidden="1">"c21156"</definedName>
    <definedName name="IQ_WHOLESALE_SALES_EQUIP" hidden="1">"c21157"</definedName>
    <definedName name="IQ_WHOLESALE_SALES_FARM_PRODUCT" hidden="1">"c21158"</definedName>
    <definedName name="IQ_WHOLESALE_SALES_FURNITURE" hidden="1">"c21159"</definedName>
    <definedName name="IQ_WHOLESALE_SALES_GROCERIES" hidden="1">"c21160"</definedName>
    <definedName name="IQ_WHOLESALE_SALES_HARDWARE" hidden="1">"c21161"</definedName>
    <definedName name="IQ_WHOLESALE_SALES_LUMBER" hidden="1">"c21162"</definedName>
    <definedName name="IQ_WHOLESALE_SALES_MACHINERY" hidden="1">"c21163"</definedName>
    <definedName name="IQ_WHOLESALE_SALES_METALS_MINERALS" hidden="1">"c21164"</definedName>
    <definedName name="IQ_WHOLESALE_SALES_MOTOR_VEHICLE" hidden="1">"c21165"</definedName>
    <definedName name="IQ_WHOLESALE_SALES_NONDUR" hidden="1">"c21166"</definedName>
    <definedName name="IQ_WHOLESALE_SALES_NONDUR_MISC" hidden="1">"c21167"</definedName>
    <definedName name="IQ_WHOLESALE_SALES_PAPER" hidden="1">"c21168"</definedName>
    <definedName name="IQ_WHOLESALE_SALES_PETROLEUM" hidden="1">"c21169"</definedName>
    <definedName name="IQ_WHOLESALE_SALES_TOTAL" hidden="1">"c21170"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_LIST" hidden="1">"c17416"</definedName>
    <definedName name="IQ_YIELD_CURVE_LIST" hidden="1">"c19250"</definedName>
    <definedName name="IQ_YTD" hidden="1">3000</definedName>
    <definedName name="IQ_YTDMONTH" hidden="1">130000</definedName>
    <definedName name="IQ_ZERO_COUPON_DEBT" hidden="1">"c17896"</definedName>
    <definedName name="IQ_ZERO_COUPON_DEBT_PCT" hidden="1">"c18010"</definedName>
  </definedNames>
  <calcPr calcId="171027" iterate="1"/>
</workbook>
</file>

<file path=xl/calcChain.xml><?xml version="1.0" encoding="utf-8"?>
<calcChain xmlns="http://schemas.openxmlformats.org/spreadsheetml/2006/main">
  <c r="C58" i="28" l="1"/>
  <c r="E14" i="23" l="1"/>
  <c r="D14" i="23"/>
  <c r="E18" i="23"/>
  <c r="D17" i="23"/>
  <c r="D19" i="23" s="1"/>
  <c r="E17" i="23"/>
  <c r="E19" i="23" s="1"/>
  <c r="E8" i="23"/>
  <c r="D18" i="23" l="1"/>
  <c r="F17" i="23"/>
  <c r="F14" i="23"/>
  <c r="G14" i="23" s="1"/>
  <c r="H14" i="23" s="1"/>
  <c r="I14" i="23" s="1"/>
  <c r="J14" i="23" s="1"/>
  <c r="K14" i="23" s="1"/>
  <c r="L14" i="23" s="1"/>
  <c r="F19" i="23" l="1"/>
  <c r="F18" i="23"/>
  <c r="B1" i="59" l="1"/>
  <c r="B4" i="59"/>
  <c r="H20" i="28"/>
  <c r="F47" i="28"/>
  <c r="J47" i="28"/>
  <c r="I47" i="28"/>
  <c r="H47" i="28"/>
  <c r="G47" i="28"/>
  <c r="P57" i="26"/>
  <c r="B20" i="28" s="1"/>
  <c r="B40" i="28" s="1"/>
  <c r="Q57" i="26"/>
  <c r="P130" i="26" s="1"/>
  <c r="F130" i="26" s="1"/>
  <c r="S130" i="26" l="1"/>
  <c r="G130" i="26"/>
  <c r="H130" i="26" s="1"/>
  <c r="I130" i="26" s="1"/>
  <c r="J130" i="26" s="1"/>
  <c r="K130" i="26" s="1"/>
  <c r="L130" i="26" s="1"/>
  <c r="D8" i="59"/>
  <c r="I23" i="59" l="1"/>
  <c r="L21" i="26" s="1"/>
  <c r="H23" i="59"/>
  <c r="K21" i="26" s="1"/>
  <c r="G23" i="59"/>
  <c r="J21" i="26" s="1"/>
  <c r="F23" i="59"/>
  <c r="I21" i="26" s="1"/>
  <c r="E23" i="59"/>
  <c r="H21" i="26" s="1"/>
  <c r="D23" i="59"/>
  <c r="G21" i="26" s="1"/>
  <c r="I17" i="59"/>
  <c r="L15" i="26" s="1"/>
  <c r="H17" i="59"/>
  <c r="K15" i="26" s="1"/>
  <c r="G17" i="59"/>
  <c r="J15" i="26" s="1"/>
  <c r="F17" i="59"/>
  <c r="I15" i="26" s="1"/>
  <c r="E17" i="59"/>
  <c r="H15" i="26" s="1"/>
  <c r="D17" i="59"/>
  <c r="G15" i="26" s="1"/>
  <c r="I11" i="59"/>
  <c r="L12" i="26" s="1"/>
  <c r="H11" i="59"/>
  <c r="K12" i="26" s="1"/>
  <c r="G11" i="59"/>
  <c r="J12" i="26" s="1"/>
  <c r="F11" i="59"/>
  <c r="I12" i="26" s="1"/>
  <c r="E11" i="59"/>
  <c r="H12" i="26" s="1"/>
  <c r="D11" i="59"/>
  <c r="G12" i="26" s="1"/>
  <c r="G11" i="26" s="1"/>
  <c r="E8" i="59"/>
  <c r="F8" i="59" s="1"/>
  <c r="D7" i="59"/>
  <c r="E6" i="59"/>
  <c r="F6" i="59" s="1"/>
  <c r="G6" i="59" s="1"/>
  <c r="H6" i="59" s="1"/>
  <c r="I6" i="59" s="1"/>
  <c r="Q61" i="26"/>
  <c r="P120" i="26" s="1"/>
  <c r="Q58" i="26"/>
  <c r="P128" i="26" s="1"/>
  <c r="F128" i="26" s="1"/>
  <c r="Q59" i="26"/>
  <c r="D46" i="56" s="1"/>
  <c r="E42" i="56" s="1"/>
  <c r="Q60" i="26"/>
  <c r="P122" i="26" s="1"/>
  <c r="F122" i="26" s="1"/>
  <c r="S122" i="26" s="1"/>
  <c r="N123" i="26"/>
  <c r="M7" i="53" s="1"/>
  <c r="Q65" i="26" s="1"/>
  <c r="Q66" i="26"/>
  <c r="Q70" i="26"/>
  <c r="D53" i="56"/>
  <c r="E49" i="56" s="1"/>
  <c r="N129" i="26"/>
  <c r="Q129" i="26" s="1"/>
  <c r="E133" i="26"/>
  <c r="D133" i="26"/>
  <c r="F61" i="28"/>
  <c r="P58" i="26"/>
  <c r="B9" i="58"/>
  <c r="B10" i="58"/>
  <c r="B11" i="58" s="1"/>
  <c r="B12" i="58" s="1"/>
  <c r="B13" i="58" s="1"/>
  <c r="B14" i="58" s="1"/>
  <c r="D37" i="56"/>
  <c r="E33" i="56" s="1"/>
  <c r="G6" i="23"/>
  <c r="E44" i="56" s="1"/>
  <c r="G188" i="26" s="1"/>
  <c r="G9" i="26"/>
  <c r="D9" i="59" s="1"/>
  <c r="E9" i="56"/>
  <c r="H6" i="26"/>
  <c r="F6" i="56" s="1"/>
  <c r="H6" i="23"/>
  <c r="F44" i="56" s="1"/>
  <c r="H188" i="26" s="1"/>
  <c r="H8" i="26"/>
  <c r="I9" i="26" s="1"/>
  <c r="I6" i="26"/>
  <c r="I6" i="23" s="1"/>
  <c r="G44" i="56" s="1"/>
  <c r="I188" i="26" s="1"/>
  <c r="I8" i="26"/>
  <c r="J9" i="26" s="1"/>
  <c r="J8" i="26"/>
  <c r="B1" i="26"/>
  <c r="H33" i="28"/>
  <c r="I33" i="28"/>
  <c r="J33" i="28"/>
  <c r="G33" i="28"/>
  <c r="G9" i="23"/>
  <c r="G25" i="23" s="1"/>
  <c r="G6" i="56"/>
  <c r="E6" i="56"/>
  <c r="P68" i="26"/>
  <c r="P69" i="26"/>
  <c r="P67" i="26"/>
  <c r="G15" i="53"/>
  <c r="M11" i="53" s="1"/>
  <c r="Q69" i="26" s="1"/>
  <c r="G14" i="53"/>
  <c r="G13" i="53"/>
  <c r="M10" i="53"/>
  <c r="Q68" i="26" s="1"/>
  <c r="B1" i="57"/>
  <c r="D123" i="26"/>
  <c r="E123" i="26"/>
  <c r="E125" i="26" s="1"/>
  <c r="E135" i="26" s="1"/>
  <c r="E136" i="26" s="1"/>
  <c r="Q118" i="26"/>
  <c r="F114" i="26"/>
  <c r="G114" i="26" s="1"/>
  <c r="H114" i="26" s="1"/>
  <c r="I114" i="26" s="1"/>
  <c r="J114" i="26" s="1"/>
  <c r="K114" i="26" s="1"/>
  <c r="L114" i="26" s="1"/>
  <c r="F87" i="26"/>
  <c r="F22" i="23" s="1"/>
  <c r="F20" i="23" s="1"/>
  <c r="E89" i="26"/>
  <c r="N99" i="26"/>
  <c r="M8" i="53"/>
  <c r="F78" i="26"/>
  <c r="S78" i="26" s="1"/>
  <c r="F79" i="26"/>
  <c r="F80" i="26"/>
  <c r="F141" i="26" s="1"/>
  <c r="F9" i="26"/>
  <c r="F81" i="26"/>
  <c r="S81" i="26" s="1"/>
  <c r="F82" i="26"/>
  <c r="G82" i="26" s="1"/>
  <c r="H82" i="26" s="1"/>
  <c r="I82" i="26" s="1"/>
  <c r="J82" i="26" s="1"/>
  <c r="K82" i="26" s="1"/>
  <c r="L82" i="26" s="1"/>
  <c r="F106" i="26"/>
  <c r="S106" i="26" s="1"/>
  <c r="F105" i="26"/>
  <c r="S105" i="26" s="1"/>
  <c r="F107" i="26"/>
  <c r="S107" i="26" s="1"/>
  <c r="F108" i="26"/>
  <c r="G108" i="26" s="1"/>
  <c r="H108" i="26" s="1"/>
  <c r="I108" i="26" s="1"/>
  <c r="J108" i="26" s="1"/>
  <c r="K108" i="26" s="1"/>
  <c r="L108" i="26" s="1"/>
  <c r="Q116" i="26"/>
  <c r="F116" i="26" s="1"/>
  <c r="Q117" i="26"/>
  <c r="F113" i="26"/>
  <c r="G113" i="26" s="1"/>
  <c r="H113" i="26" s="1"/>
  <c r="I113" i="26" s="1"/>
  <c r="J113" i="26" s="1"/>
  <c r="K113" i="26" s="1"/>
  <c r="L113" i="26" s="1"/>
  <c r="N84" i="26"/>
  <c r="N110" i="26"/>
  <c r="E7" i="26"/>
  <c r="E7" i="23" s="1"/>
  <c r="F7" i="26"/>
  <c r="D7" i="56" s="1"/>
  <c r="G153" i="26"/>
  <c r="B4" i="26"/>
  <c r="B4" i="23"/>
  <c r="B4" i="56"/>
  <c r="B4" i="53"/>
  <c r="F109" i="28"/>
  <c r="G109" i="28" s="1"/>
  <c r="H109" i="28" s="1"/>
  <c r="I109" i="28" s="1"/>
  <c r="J109" i="28" s="1"/>
  <c r="K109" i="28" s="1"/>
  <c r="F102" i="28"/>
  <c r="G102" i="28" s="1"/>
  <c r="H102" i="28" s="1"/>
  <c r="I102" i="28" s="1"/>
  <c r="J102" i="28" s="1"/>
  <c r="K102" i="28" s="1"/>
  <c r="B1" i="56"/>
  <c r="D8" i="56"/>
  <c r="D143" i="26"/>
  <c r="D6" i="26"/>
  <c r="D73" i="26"/>
  <c r="F116" i="28"/>
  <c r="F27" i="28"/>
  <c r="F70" i="28" s="1"/>
  <c r="P99" i="26"/>
  <c r="S134" i="26"/>
  <c r="S132" i="26"/>
  <c r="S109" i="26"/>
  <c r="S100" i="26"/>
  <c r="S98" i="26"/>
  <c r="F97" i="26"/>
  <c r="S97" i="26" s="1"/>
  <c r="F96" i="26"/>
  <c r="S96" i="26" s="1"/>
  <c r="F95" i="26"/>
  <c r="F94" i="26"/>
  <c r="G94" i="26" s="1"/>
  <c r="H94" i="26" s="1"/>
  <c r="I94" i="26" s="1"/>
  <c r="J94" i="26" s="1"/>
  <c r="K94" i="26" s="1"/>
  <c r="L94" i="26" s="1"/>
  <c r="S88" i="26"/>
  <c r="S83" i="26"/>
  <c r="F74" i="26"/>
  <c r="P56" i="26"/>
  <c r="B19" i="28" s="1"/>
  <c r="B26" i="28" s="1"/>
  <c r="P64" i="26"/>
  <c r="C87" i="28"/>
  <c r="C88" i="28"/>
  <c r="P59" i="26"/>
  <c r="B23" i="28"/>
  <c r="B84" i="28" s="1"/>
  <c r="P60" i="26"/>
  <c r="P61" i="26"/>
  <c r="F85" i="28"/>
  <c r="F9" i="23"/>
  <c r="E74" i="26"/>
  <c r="F8" i="23"/>
  <c r="N74" i="26"/>
  <c r="D89" i="26"/>
  <c r="D110" i="26"/>
  <c r="D125" i="26" s="1"/>
  <c r="D135" i="26" s="1"/>
  <c r="E110" i="26"/>
  <c r="E99" i="26"/>
  <c r="E101" i="26" s="1"/>
  <c r="D99" i="26"/>
  <c r="D101" i="26" s="1"/>
  <c r="D84" i="26"/>
  <c r="D8" i="26"/>
  <c r="D8" i="23" s="1"/>
  <c r="G151" i="26"/>
  <c r="G73" i="26"/>
  <c r="B10" i="23"/>
  <c r="P110" i="26"/>
  <c r="Q110" i="26"/>
  <c r="B1" i="28"/>
  <c r="B1" i="23"/>
  <c r="B146" i="26"/>
  <c r="B51" i="26"/>
  <c r="G117" i="28"/>
  <c r="E73" i="26"/>
  <c r="F91" i="28"/>
  <c r="M9" i="53"/>
  <c r="Q67" i="26" s="1"/>
  <c r="E140" i="26"/>
  <c r="E142" i="26"/>
  <c r="D141" i="26"/>
  <c r="N125" i="26"/>
  <c r="S74" i="26"/>
  <c r="G74" i="26"/>
  <c r="S79" i="26"/>
  <c r="G97" i="26"/>
  <c r="H97" i="26" s="1"/>
  <c r="I97" i="26" s="1"/>
  <c r="J97" i="26" s="1"/>
  <c r="K97" i="26" s="1"/>
  <c r="L97" i="26" s="1"/>
  <c r="N89" i="26"/>
  <c r="N101" i="26" s="1"/>
  <c r="F7" i="23"/>
  <c r="G7" i="26"/>
  <c r="G7" i="23"/>
  <c r="G85" i="28"/>
  <c r="E8" i="56"/>
  <c r="I73" i="26"/>
  <c r="H151" i="26"/>
  <c r="H73" i="26"/>
  <c r="I151" i="26"/>
  <c r="F4" i="57"/>
  <c r="F117" i="28"/>
  <c r="F26" i="28"/>
  <c r="F69" i="28" s="1"/>
  <c r="D9" i="56"/>
  <c r="G27" i="28"/>
  <c r="G70" i="28" s="1"/>
  <c r="E84" i="26"/>
  <c r="G116" i="28"/>
  <c r="G8" i="23"/>
  <c r="G154" i="26"/>
  <c r="F139" i="26"/>
  <c r="S87" i="26"/>
  <c r="G95" i="26"/>
  <c r="H95" i="26" s="1"/>
  <c r="I95" i="26" s="1"/>
  <c r="J95" i="26" s="1"/>
  <c r="K95" i="26" s="1"/>
  <c r="L95" i="26" s="1"/>
  <c r="S95" i="26"/>
  <c r="F89" i="26"/>
  <c r="S114" i="26"/>
  <c r="E139" i="26"/>
  <c r="D140" i="26"/>
  <c r="G140" i="26" s="1"/>
  <c r="H140" i="26" s="1"/>
  <c r="I140" i="26" s="1"/>
  <c r="J140" i="26" s="1"/>
  <c r="K140" i="26" s="1"/>
  <c r="L140" i="26" s="1"/>
  <c r="E141" i="26"/>
  <c r="E143" i="26"/>
  <c r="F118" i="26"/>
  <c r="S118" i="26" s="1"/>
  <c r="H74" i="26"/>
  <c r="G26" i="28"/>
  <c r="G152" i="26"/>
  <c r="E7" i="56"/>
  <c r="F3" i="57"/>
  <c r="H7" i="26"/>
  <c r="H26" i="28" s="1"/>
  <c r="H69" i="28" s="1"/>
  <c r="H116" i="28"/>
  <c r="H8" i="23"/>
  <c r="H153" i="26"/>
  <c r="H85" i="28"/>
  <c r="F8" i="56"/>
  <c r="H27" i="28"/>
  <c r="H70" i="28" s="1"/>
  <c r="S89" i="26"/>
  <c r="F12" i="26"/>
  <c r="E17" i="26"/>
  <c r="E15" i="26"/>
  <c r="E23" i="26"/>
  <c r="E48" i="26" s="1"/>
  <c r="E49" i="26" s="1"/>
  <c r="I27" i="28"/>
  <c r="I70" i="28" s="1"/>
  <c r="I7" i="26"/>
  <c r="G7" i="56" s="1"/>
  <c r="I153" i="26"/>
  <c r="I116" i="28"/>
  <c r="G8" i="56"/>
  <c r="I8" i="23"/>
  <c r="F7" i="56"/>
  <c r="I85" i="28"/>
  <c r="I74" i="26"/>
  <c r="E18" i="26"/>
  <c r="I26" i="28"/>
  <c r="I69" i="28" s="1"/>
  <c r="I7" i="23"/>
  <c r="H3" i="57"/>
  <c r="I152" i="26"/>
  <c r="H8" i="56"/>
  <c r="F140" i="26"/>
  <c r="F15" i="26"/>
  <c r="F17" i="26"/>
  <c r="F23" i="26"/>
  <c r="F29" i="26" s="1"/>
  <c r="F35" i="26" s="1"/>
  <c r="F44" i="26" s="1"/>
  <c r="D102" i="28"/>
  <c r="S80" i="26"/>
  <c r="F18" i="26"/>
  <c r="G107" i="26"/>
  <c r="H107" i="26" s="1"/>
  <c r="I107" i="26" s="1"/>
  <c r="J107" i="26" s="1"/>
  <c r="K107" i="26" s="1"/>
  <c r="L107" i="26" s="1"/>
  <c r="B41" i="56"/>
  <c r="F142" i="26"/>
  <c r="J142" i="26" s="1"/>
  <c r="F24" i="26"/>
  <c r="E12" i="26"/>
  <c r="D142" i="26"/>
  <c r="G81" i="26"/>
  <c r="H81" i="26" s="1"/>
  <c r="I81" i="26" s="1"/>
  <c r="J81" i="26" s="1"/>
  <c r="K81" i="26" s="1"/>
  <c r="L81" i="26" s="1"/>
  <c r="F21" i="26"/>
  <c r="E21" i="26"/>
  <c r="D15" i="26"/>
  <c r="D17" i="26"/>
  <c r="D139" i="26"/>
  <c r="G139" i="26"/>
  <c r="H139" i="26" s="1"/>
  <c r="I139" i="26" s="1"/>
  <c r="J139" i="26" s="1"/>
  <c r="K139" i="26" s="1"/>
  <c r="L139" i="26" s="1"/>
  <c r="D21" i="26"/>
  <c r="I142" i="26"/>
  <c r="K142" i="26"/>
  <c r="H142" i="26"/>
  <c r="L142" i="26"/>
  <c r="D23" i="26"/>
  <c r="D24" i="26" s="1"/>
  <c r="D18" i="26"/>
  <c r="D48" i="26"/>
  <c r="D49" i="26" s="1"/>
  <c r="E36" i="56"/>
  <c r="G187" i="26" s="1"/>
  <c r="F36" i="56"/>
  <c r="H187" i="26" s="1"/>
  <c r="G36" i="56"/>
  <c r="I187" i="26" s="1"/>
  <c r="H36" i="56"/>
  <c r="J187" i="26" s="1"/>
  <c r="I36" i="56"/>
  <c r="K187" i="26" s="1"/>
  <c r="J36" i="56"/>
  <c r="L187" i="26" s="1"/>
  <c r="E45" i="56"/>
  <c r="G189" i="26" s="1"/>
  <c r="F45" i="56"/>
  <c r="H189" i="26" s="1"/>
  <c r="G45" i="56"/>
  <c r="I189" i="26" s="1"/>
  <c r="H45" i="56"/>
  <c r="J189" i="26" s="1"/>
  <c r="I45" i="56"/>
  <c r="K189" i="26" s="1"/>
  <c r="J45" i="56"/>
  <c r="L189" i="26" s="1"/>
  <c r="E52" i="56"/>
  <c r="G191" i="26" s="1"/>
  <c r="F52" i="56"/>
  <c r="H191" i="26" s="1"/>
  <c r="G52" i="56"/>
  <c r="I191" i="26" s="1"/>
  <c r="H52" i="56"/>
  <c r="J191" i="26" s="1"/>
  <c r="I52" i="56"/>
  <c r="K191" i="26" s="1"/>
  <c r="J52" i="56"/>
  <c r="L191" i="26" s="1"/>
  <c r="J9" i="23" l="1"/>
  <c r="H9" i="56"/>
  <c r="J154" i="26"/>
  <c r="J117" i="28"/>
  <c r="I4" i="57"/>
  <c r="H4" i="57"/>
  <c r="G9" i="56"/>
  <c r="I117" i="28"/>
  <c r="I154" i="26"/>
  <c r="I9" i="23"/>
  <c r="I25" i="23" s="1"/>
  <c r="D136" i="26"/>
  <c r="S116" i="26"/>
  <c r="G116" i="26"/>
  <c r="H116" i="26" s="1"/>
  <c r="I116" i="26" s="1"/>
  <c r="J116" i="26" s="1"/>
  <c r="K116" i="26" s="1"/>
  <c r="L116" i="26" s="1"/>
  <c r="Q131" i="26"/>
  <c r="F131" i="26" s="1"/>
  <c r="S131" i="26" s="1"/>
  <c r="G142" i="26"/>
  <c r="J74" i="26"/>
  <c r="J85" i="28"/>
  <c r="H7" i="23"/>
  <c r="Q123" i="26"/>
  <c r="Q125" i="26" s="1"/>
  <c r="H9" i="26"/>
  <c r="D7" i="26"/>
  <c r="D7" i="23" s="1"/>
  <c r="K8" i="26"/>
  <c r="E29" i="26"/>
  <c r="E35" i="26" s="1"/>
  <c r="E44" i="26" s="1"/>
  <c r="J116" i="28"/>
  <c r="G3" i="57"/>
  <c r="E9" i="26"/>
  <c r="J6" i="26"/>
  <c r="D29" i="26"/>
  <c r="D35" i="26" s="1"/>
  <c r="D44" i="26" s="1"/>
  <c r="J27" i="28"/>
  <c r="J70" i="28" s="1"/>
  <c r="S113" i="26"/>
  <c r="N133" i="26"/>
  <c r="N135" i="26" s="1"/>
  <c r="N136" i="26" s="1"/>
  <c r="E24" i="26"/>
  <c r="F48" i="26"/>
  <c r="J153" i="26"/>
  <c r="F28" i="23"/>
  <c r="J8" i="23"/>
  <c r="H152" i="26"/>
  <c r="J7" i="26"/>
  <c r="D74" i="26"/>
  <c r="G54" i="28"/>
  <c r="G69" i="28"/>
  <c r="G13" i="23"/>
  <c r="G180" i="26" s="1"/>
  <c r="F34" i="57" s="1"/>
  <c r="E46" i="56"/>
  <c r="F42" i="56" s="1"/>
  <c r="F46" i="56" s="1"/>
  <c r="G14" i="26"/>
  <c r="G141" i="26"/>
  <c r="K141" i="26"/>
  <c r="H141" i="26"/>
  <c r="L141" i="26"/>
  <c r="I141" i="26"/>
  <c r="J141" i="26"/>
  <c r="G78" i="26"/>
  <c r="G168" i="26" s="1"/>
  <c r="H84" i="28"/>
  <c r="H40" i="28"/>
  <c r="F110" i="26"/>
  <c r="S110" i="26" s="1"/>
  <c r="F143" i="26"/>
  <c r="G143" i="26" s="1"/>
  <c r="H143" i="26" s="1"/>
  <c r="I143" i="26" s="1"/>
  <c r="J143" i="26" s="1"/>
  <c r="K143" i="26" s="1"/>
  <c r="L143" i="26" s="1"/>
  <c r="J41" i="28"/>
  <c r="I84" i="28"/>
  <c r="I40" i="28"/>
  <c r="S108" i="26"/>
  <c r="P121" i="26"/>
  <c r="F121" i="26" s="1"/>
  <c r="S121" i="26" s="1"/>
  <c r="S94" i="26"/>
  <c r="G96" i="26"/>
  <c r="H96" i="26" s="1"/>
  <c r="I96" i="26" s="1"/>
  <c r="J96" i="26" s="1"/>
  <c r="K96" i="26" s="1"/>
  <c r="L96" i="26" s="1"/>
  <c r="F117" i="26"/>
  <c r="S82" i="26"/>
  <c r="J25" i="23"/>
  <c r="G118" i="26"/>
  <c r="H118" i="26" s="1"/>
  <c r="I118" i="26" s="1"/>
  <c r="J118" i="26" s="1"/>
  <c r="K118" i="26" s="1"/>
  <c r="L118" i="26" s="1"/>
  <c r="G11" i="23"/>
  <c r="F55" i="28"/>
  <c r="F41" i="28"/>
  <c r="G84" i="28"/>
  <c r="G40" i="28"/>
  <c r="F84" i="28"/>
  <c r="F40" i="28"/>
  <c r="H11" i="26"/>
  <c r="I55" i="28"/>
  <c r="I41" i="28"/>
  <c r="H55" i="28"/>
  <c r="H41" i="28"/>
  <c r="G55" i="28"/>
  <c r="G41" i="28"/>
  <c r="H54" i="28"/>
  <c r="F54" i="28"/>
  <c r="I54" i="28"/>
  <c r="G8" i="59"/>
  <c r="G7" i="59" s="1"/>
  <c r="F7" i="59"/>
  <c r="B21" i="28"/>
  <c r="G20" i="26"/>
  <c r="Q92" i="26"/>
  <c r="F92" i="26" s="1"/>
  <c r="S92" i="26" s="1"/>
  <c r="I29" i="23"/>
  <c r="G29" i="23"/>
  <c r="F120" i="26"/>
  <c r="S128" i="26"/>
  <c r="E35" i="56"/>
  <c r="G186" i="26" s="1"/>
  <c r="F9" i="59"/>
  <c r="E7" i="59"/>
  <c r="E9" i="59"/>
  <c r="Q133" i="26" l="1"/>
  <c r="Q135" i="26" s="1"/>
  <c r="H7" i="56"/>
  <c r="I3" i="57"/>
  <c r="J7" i="23"/>
  <c r="J26" i="28"/>
  <c r="J152" i="26"/>
  <c r="F47" i="56"/>
  <c r="H92" i="28" s="1"/>
  <c r="H91" i="28" s="1"/>
  <c r="G4" i="57"/>
  <c r="H117" i="28"/>
  <c r="H154" i="26"/>
  <c r="F9" i="56"/>
  <c r="H9" i="23"/>
  <c r="J73" i="26"/>
  <c r="H6" i="56"/>
  <c r="J151" i="26"/>
  <c r="K6" i="26"/>
  <c r="J6" i="23"/>
  <c r="K153" i="26"/>
  <c r="K116" i="28"/>
  <c r="L8" i="26"/>
  <c r="K7" i="26"/>
  <c r="L9" i="26"/>
  <c r="K27" i="28"/>
  <c r="K8" i="23"/>
  <c r="K74" i="26"/>
  <c r="K85" i="28"/>
  <c r="I8" i="56"/>
  <c r="E9" i="23"/>
  <c r="D9" i="26"/>
  <c r="D9" i="23" s="1"/>
  <c r="J55" i="28"/>
  <c r="F49" i="26"/>
  <c r="G6" i="53"/>
  <c r="E37" i="56"/>
  <c r="E38" i="56" s="1"/>
  <c r="H8" i="59"/>
  <c r="K9" i="26"/>
  <c r="P123" i="26"/>
  <c r="P125" i="26" s="1"/>
  <c r="F16" i="57"/>
  <c r="F37" i="57"/>
  <c r="G17" i="26"/>
  <c r="G23" i="26" s="1"/>
  <c r="G79" i="26"/>
  <c r="G169" i="26" s="1"/>
  <c r="H13" i="23"/>
  <c r="H15" i="23" s="1"/>
  <c r="G15" i="23"/>
  <c r="G121" i="26"/>
  <c r="F23" i="57" s="1"/>
  <c r="E47" i="56"/>
  <c r="G92" i="28" s="1"/>
  <c r="G91" i="28" s="1"/>
  <c r="G106" i="26"/>
  <c r="G172" i="26" s="1"/>
  <c r="G80" i="26"/>
  <c r="G170" i="26" s="1"/>
  <c r="G117" i="26"/>
  <c r="H117" i="26" s="1"/>
  <c r="I117" i="26" s="1"/>
  <c r="J117" i="26" s="1"/>
  <c r="K117" i="26" s="1"/>
  <c r="L117" i="26" s="1"/>
  <c r="S117" i="26"/>
  <c r="H14" i="26"/>
  <c r="H78" i="26"/>
  <c r="H168" i="26" s="1"/>
  <c r="I11" i="26"/>
  <c r="H20" i="26"/>
  <c r="G105" i="26"/>
  <c r="G171" i="26" s="1"/>
  <c r="G41" i="26"/>
  <c r="G18" i="26"/>
  <c r="G9" i="59"/>
  <c r="G182" i="26"/>
  <c r="E19" i="56" s="1"/>
  <c r="F12" i="57"/>
  <c r="G162" i="26"/>
  <c r="G27" i="26"/>
  <c r="F123" i="26"/>
  <c r="D30" i="56"/>
  <c r="E28" i="56" s="1"/>
  <c r="S120" i="26"/>
  <c r="G28" i="23"/>
  <c r="F35" i="56"/>
  <c r="H186" i="26" s="1"/>
  <c r="F33" i="56"/>
  <c r="G122" i="26"/>
  <c r="H121" i="26"/>
  <c r="G23" i="57" s="1"/>
  <c r="G42" i="56"/>
  <c r="G46" i="56" s="1"/>
  <c r="G47" i="56" s="1"/>
  <c r="I92" i="28" s="1"/>
  <c r="I91" i="28" s="1"/>
  <c r="I27" i="26"/>
  <c r="I162" i="26"/>
  <c r="I8" i="59"/>
  <c r="I7" i="59" s="1"/>
  <c r="H7" i="59"/>
  <c r="H9" i="59"/>
  <c r="G8" i="53" l="1"/>
  <c r="G9" i="53"/>
  <c r="G7" i="53"/>
  <c r="K70" i="28"/>
  <c r="K55" i="28"/>
  <c r="K41" i="28"/>
  <c r="K151" i="26"/>
  <c r="K73" i="26"/>
  <c r="I6" i="56"/>
  <c r="L6" i="26"/>
  <c r="K6" i="23"/>
  <c r="J9" i="56"/>
  <c r="L154" i="26"/>
  <c r="L9" i="23"/>
  <c r="L25" i="23" s="1"/>
  <c r="K4" i="57"/>
  <c r="K26" i="28"/>
  <c r="K152" i="26"/>
  <c r="J3" i="57"/>
  <c r="I7" i="56"/>
  <c r="K7" i="23"/>
  <c r="J69" i="28"/>
  <c r="J84" i="28"/>
  <c r="J40" i="28"/>
  <c r="J54" i="28"/>
  <c r="J8" i="56"/>
  <c r="L153" i="26"/>
  <c r="L74" i="26"/>
  <c r="L7" i="26"/>
  <c r="L8" i="23"/>
  <c r="H29" i="23"/>
  <c r="H25" i="23"/>
  <c r="I9" i="56"/>
  <c r="K9" i="23"/>
  <c r="K25" i="23" s="1"/>
  <c r="J4" i="57"/>
  <c r="K154" i="26"/>
  <c r="K117" i="28"/>
  <c r="H44" i="56"/>
  <c r="J188" i="26" s="1"/>
  <c r="J29" i="23"/>
  <c r="G37" i="57"/>
  <c r="G16" i="57"/>
  <c r="H17" i="26"/>
  <c r="H18" i="26" s="1"/>
  <c r="H180" i="26"/>
  <c r="G12" i="57" s="1"/>
  <c r="I13" i="23"/>
  <c r="I15" i="23" s="1"/>
  <c r="G110" i="26"/>
  <c r="G173" i="26"/>
  <c r="I78" i="26"/>
  <c r="I14" i="26"/>
  <c r="I20" i="26"/>
  <c r="J11" i="26"/>
  <c r="H106" i="26"/>
  <c r="H172" i="26" s="1"/>
  <c r="H105" i="26"/>
  <c r="H80" i="26"/>
  <c r="H170" i="26" s="1"/>
  <c r="H79" i="26"/>
  <c r="F37" i="56"/>
  <c r="F38" i="56" s="1"/>
  <c r="G48" i="26"/>
  <c r="G24" i="26"/>
  <c r="F24" i="57"/>
  <c r="F46" i="57"/>
  <c r="S123" i="26"/>
  <c r="S125" i="26" s="1"/>
  <c r="F125" i="26"/>
  <c r="G92" i="26"/>
  <c r="I121" i="26"/>
  <c r="H23" i="57" s="1"/>
  <c r="H42" i="56"/>
  <c r="I9" i="59"/>
  <c r="H162" i="26" l="1"/>
  <c r="H27" i="26"/>
  <c r="K69" i="28"/>
  <c r="K40" i="28"/>
  <c r="K84" i="28"/>
  <c r="K54" i="28"/>
  <c r="J27" i="26"/>
  <c r="J162" i="26"/>
  <c r="H28" i="23"/>
  <c r="L7" i="23"/>
  <c r="L152" i="26"/>
  <c r="J7" i="56"/>
  <c r="K3" i="57"/>
  <c r="I44" i="56"/>
  <c r="K188" i="26" s="1"/>
  <c r="K29" i="23"/>
  <c r="L6" i="23"/>
  <c r="J44" i="56" s="1"/>
  <c r="L188" i="26" s="1"/>
  <c r="L73" i="26"/>
  <c r="L151" i="26"/>
  <c r="J6" i="56"/>
  <c r="H46" i="56"/>
  <c r="H23" i="26"/>
  <c r="H24" i="26" s="1"/>
  <c r="H41" i="26"/>
  <c r="I180" i="26"/>
  <c r="H12" i="57" s="1"/>
  <c r="H182" i="26"/>
  <c r="F19" i="56" s="1"/>
  <c r="G34" i="57"/>
  <c r="J13" i="23"/>
  <c r="J15" i="23" s="1"/>
  <c r="J180" i="26"/>
  <c r="K11" i="26"/>
  <c r="J14" i="26"/>
  <c r="J78" i="26"/>
  <c r="J168" i="26" s="1"/>
  <c r="J20" i="26"/>
  <c r="H110" i="26"/>
  <c r="H171" i="26"/>
  <c r="G33" i="56"/>
  <c r="I79" i="26"/>
  <c r="I169" i="26" s="1"/>
  <c r="I17" i="26"/>
  <c r="I106" i="26"/>
  <c r="I172" i="26" s="1"/>
  <c r="I105" i="26"/>
  <c r="I80" i="26"/>
  <c r="H169" i="26"/>
  <c r="I168" i="26"/>
  <c r="G35" i="56"/>
  <c r="I186" i="26" s="1"/>
  <c r="H122" i="26"/>
  <c r="G46" i="57" s="1"/>
  <c r="F11" i="57"/>
  <c r="G49" i="26"/>
  <c r="F32" i="57"/>
  <c r="I42" i="56"/>
  <c r="I46" i="56" s="1"/>
  <c r="I47" i="56" s="1"/>
  <c r="K92" i="28" s="1"/>
  <c r="J121" i="26"/>
  <c r="I23" i="57" s="1"/>
  <c r="H92" i="26"/>
  <c r="I28" i="23"/>
  <c r="H47" i="56"/>
  <c r="J92" i="28" s="1"/>
  <c r="J91" i="28" s="1"/>
  <c r="K27" i="26" l="1"/>
  <c r="K162" i="26"/>
  <c r="L29" i="23"/>
  <c r="H16" i="57"/>
  <c r="H37" i="57"/>
  <c r="G37" i="56"/>
  <c r="I122" i="26" s="1"/>
  <c r="G24" i="57"/>
  <c r="H48" i="26"/>
  <c r="G32" i="57" s="1"/>
  <c r="H34" i="57"/>
  <c r="I182" i="26"/>
  <c r="G19" i="56" s="1"/>
  <c r="K13" i="23"/>
  <c r="K180" i="26" s="1"/>
  <c r="I12" i="57"/>
  <c r="I34" i="57"/>
  <c r="J182" i="26"/>
  <c r="H19" i="56" s="1"/>
  <c r="H173" i="26"/>
  <c r="I171" i="26"/>
  <c r="I110" i="26"/>
  <c r="K14" i="26"/>
  <c r="K20" i="26"/>
  <c r="L11" i="26"/>
  <c r="K78" i="26"/>
  <c r="K168" i="26" s="1"/>
  <c r="J79" i="26"/>
  <c r="J169" i="26" s="1"/>
  <c r="J106" i="26"/>
  <c r="J172" i="26" s="1"/>
  <c r="J80" i="26"/>
  <c r="J170" i="26" s="1"/>
  <c r="J105" i="26"/>
  <c r="J17" i="26"/>
  <c r="G11" i="57"/>
  <c r="I170" i="26"/>
  <c r="I23" i="26"/>
  <c r="I41" i="26"/>
  <c r="I18" i="26"/>
  <c r="F19" i="57"/>
  <c r="F42" i="57"/>
  <c r="J28" i="23"/>
  <c r="I92" i="26"/>
  <c r="J42" i="56"/>
  <c r="J46" i="56" s="1"/>
  <c r="L121" i="26" s="1"/>
  <c r="K23" i="57" s="1"/>
  <c r="K93" i="28"/>
  <c r="K121" i="26"/>
  <c r="J23" i="57" s="1"/>
  <c r="H46" i="57" l="1"/>
  <c r="H24" i="57"/>
  <c r="H33" i="56"/>
  <c r="H49" i="26"/>
  <c r="L162" i="26"/>
  <c r="L27" i="26"/>
  <c r="G38" i="56"/>
  <c r="H35" i="56"/>
  <c r="J186" i="26" s="1"/>
  <c r="L13" i="23"/>
  <c r="L15" i="23" s="1"/>
  <c r="K15" i="23"/>
  <c r="J12" i="57"/>
  <c r="J34" i="57"/>
  <c r="K182" i="26"/>
  <c r="I19" i="56" s="1"/>
  <c r="J41" i="26"/>
  <c r="J18" i="26"/>
  <c r="J23" i="26"/>
  <c r="G19" i="57"/>
  <c r="G42" i="57"/>
  <c r="J110" i="26"/>
  <c r="J171" i="26"/>
  <c r="J173" i="26" s="1"/>
  <c r="K17" i="26"/>
  <c r="K105" i="26"/>
  <c r="K106" i="26"/>
  <c r="K172" i="26" s="1"/>
  <c r="K79" i="26"/>
  <c r="K169" i="26" s="1"/>
  <c r="K80" i="26"/>
  <c r="K170" i="26" s="1"/>
  <c r="I48" i="26"/>
  <c r="I24" i="26"/>
  <c r="L20" i="26"/>
  <c r="L14" i="26"/>
  <c r="L17" i="26" s="1"/>
  <c r="L78" i="26"/>
  <c r="L168" i="26" s="1"/>
  <c r="I173" i="26"/>
  <c r="K28" i="23"/>
  <c r="J92" i="26"/>
  <c r="J47" i="56"/>
  <c r="I16" i="57" l="1"/>
  <c r="I37" i="57"/>
  <c r="H37" i="56"/>
  <c r="L180" i="26"/>
  <c r="L182" i="26" s="1"/>
  <c r="J19" i="56" s="1"/>
  <c r="L23" i="26"/>
  <c r="L41" i="26"/>
  <c r="L18" i="26"/>
  <c r="K23" i="26"/>
  <c r="K18" i="26"/>
  <c r="K41" i="26"/>
  <c r="J48" i="26"/>
  <c r="J24" i="26"/>
  <c r="I49" i="26"/>
  <c r="H32" i="57"/>
  <c r="H11" i="57"/>
  <c r="L105" i="26"/>
  <c r="L80" i="26"/>
  <c r="L170" i="26" s="1"/>
  <c r="L79" i="26"/>
  <c r="L169" i="26" s="1"/>
  <c r="L106" i="26"/>
  <c r="L172" i="26" s="1"/>
  <c r="K171" i="26"/>
  <c r="K173" i="26" s="1"/>
  <c r="K110" i="26"/>
  <c r="K92" i="26"/>
  <c r="L28" i="23"/>
  <c r="L92" i="26" s="1"/>
  <c r="I35" i="56" l="1"/>
  <c r="K186" i="26" s="1"/>
  <c r="I33" i="56"/>
  <c r="I37" i="56" s="1"/>
  <c r="H38" i="56"/>
  <c r="J122" i="26"/>
  <c r="I38" i="56"/>
  <c r="K34" i="57"/>
  <c r="K12" i="57"/>
  <c r="I11" i="57"/>
  <c r="I32" i="57"/>
  <c r="J49" i="26"/>
  <c r="L110" i="26"/>
  <c r="L171" i="26"/>
  <c r="L173" i="26" s="1"/>
  <c r="K48" i="26"/>
  <c r="K24" i="26"/>
  <c r="H19" i="57"/>
  <c r="H42" i="57"/>
  <c r="L48" i="26"/>
  <c r="L24" i="26"/>
  <c r="I46" i="57" l="1"/>
  <c r="I24" i="57"/>
  <c r="J35" i="56"/>
  <c r="L186" i="26" s="1"/>
  <c r="J33" i="56"/>
  <c r="J37" i="56" s="1"/>
  <c r="L122" i="26" s="1"/>
  <c r="K122" i="26"/>
  <c r="J16" i="57"/>
  <c r="J37" i="57"/>
  <c r="K11" i="57"/>
  <c r="L49" i="26"/>
  <c r="K32" i="57"/>
  <c r="J32" i="57"/>
  <c r="K49" i="26"/>
  <c r="K7" i="28"/>
  <c r="K8" i="28" s="1"/>
  <c r="J11" i="57"/>
  <c r="I19" i="57"/>
  <c r="I42" i="57"/>
  <c r="J24" i="57" l="1"/>
  <c r="J46" i="57"/>
  <c r="K16" i="57"/>
  <c r="K37" i="57"/>
  <c r="J38" i="56"/>
  <c r="J19" i="57"/>
  <c r="J42" i="57"/>
  <c r="K46" i="57"/>
  <c r="K42" i="57"/>
  <c r="K24" i="57"/>
  <c r="K19" i="57"/>
  <c r="J6" i="53" l="1"/>
  <c r="F76" i="28" s="1"/>
  <c r="Q56" i="26" l="1"/>
  <c r="P129" i="26" s="1"/>
  <c r="H19" i="28"/>
  <c r="F33" i="28"/>
  <c r="J16" i="53"/>
  <c r="M16" i="53" s="1"/>
  <c r="M6" i="53" s="1"/>
  <c r="Q64" i="26" s="1"/>
  <c r="Q62" i="26" l="1"/>
  <c r="P77" i="26" s="1"/>
  <c r="I19" i="28"/>
  <c r="I20" i="28"/>
  <c r="K20" i="28" s="1"/>
  <c r="Q71" i="26"/>
  <c r="Q77" i="26" s="1"/>
  <c r="Q84" i="26" s="1"/>
  <c r="Q93" i="26"/>
  <c r="P84" i="26"/>
  <c r="P101" i="26" s="1"/>
  <c r="F129" i="26"/>
  <c r="P133" i="26"/>
  <c r="P135" i="26" s="1"/>
  <c r="F77" i="26" l="1"/>
  <c r="F84" i="26" s="1"/>
  <c r="S84" i="26" s="1"/>
  <c r="C44" i="28"/>
  <c r="K19" i="28"/>
  <c r="C73" i="28" s="1"/>
  <c r="P136" i="26"/>
  <c r="F133" i="26"/>
  <c r="F135" i="26" s="1"/>
  <c r="G129" i="26"/>
  <c r="H129" i="26" s="1"/>
  <c r="I129" i="26" s="1"/>
  <c r="J129" i="26" s="1"/>
  <c r="K129" i="26" s="1"/>
  <c r="L129" i="26" s="1"/>
  <c r="S129" i="26"/>
  <c r="S133" i="26" s="1"/>
  <c r="Q99" i="26"/>
  <c r="F93" i="26"/>
  <c r="E14" i="56" l="1"/>
  <c r="G197" i="26"/>
  <c r="F7" i="57" s="1"/>
  <c r="S77" i="26"/>
  <c r="K24" i="28"/>
  <c r="C30" i="28"/>
  <c r="Q101" i="26"/>
  <c r="Q136" i="26" s="1"/>
  <c r="F99" i="26"/>
  <c r="S93" i="26"/>
  <c r="F24" i="23"/>
  <c r="F26" i="23" s="1"/>
  <c r="G24" i="23" s="1"/>
  <c r="G26" i="23" s="1"/>
  <c r="S135" i="26"/>
  <c r="F101" i="26" l="1"/>
  <c r="S99" i="26"/>
  <c r="G93" i="26"/>
  <c r="G99" i="26" s="1"/>
  <c r="H24" i="23"/>
  <c r="H26" i="23" s="1"/>
  <c r="S101" i="26" l="1"/>
  <c r="S136" i="26" s="1"/>
  <c r="F136" i="26"/>
  <c r="H93" i="26"/>
  <c r="H99" i="26" s="1"/>
  <c r="I24" i="23"/>
  <c r="I26" i="23" s="1"/>
  <c r="I93" i="26" l="1"/>
  <c r="I99" i="26" s="1"/>
  <c r="J24" i="23"/>
  <c r="J26" i="23" s="1"/>
  <c r="J93" i="26" l="1"/>
  <c r="J99" i="26" s="1"/>
  <c r="K24" i="23"/>
  <c r="K26" i="23" s="1"/>
  <c r="K93" i="26" l="1"/>
  <c r="K99" i="26" s="1"/>
  <c r="L24" i="23"/>
  <c r="L26" i="23" s="1"/>
  <c r="L93" i="26" s="1"/>
  <c r="L99" i="26" s="1"/>
  <c r="F120" i="28" l="1"/>
  <c r="G120" i="28"/>
  <c r="H120" i="28"/>
  <c r="I120" i="28"/>
  <c r="J120" i="28"/>
  <c r="K120" i="28"/>
  <c r="F122" i="28"/>
  <c r="G122" i="28"/>
  <c r="H122" i="28"/>
  <c r="I122" i="28"/>
  <c r="J122" i="28"/>
  <c r="K122" i="28"/>
  <c r="F125" i="28"/>
  <c r="G125" i="28"/>
  <c r="H125" i="28"/>
  <c r="I125" i="28"/>
  <c r="J125" i="28"/>
  <c r="K125" i="28"/>
  <c r="F129" i="28"/>
  <c r="G129" i="28"/>
  <c r="H129" i="28"/>
  <c r="I129" i="28"/>
  <c r="J129" i="28"/>
  <c r="K129" i="28"/>
  <c r="J121" i="28" l="1"/>
  <c r="J123" i="28"/>
  <c r="J124" i="28" s="1"/>
  <c r="F130" i="28"/>
  <c r="I130" i="28"/>
  <c r="F123" i="28"/>
  <c r="F124" i="28" s="1"/>
  <c r="I123" i="28"/>
  <c r="I124" i="28" s="1"/>
  <c r="J130" i="28"/>
  <c r="I126" i="28"/>
  <c r="I127" i="28" s="1"/>
  <c r="I121" i="28"/>
  <c r="H123" i="28"/>
  <c r="H124" i="28" s="1"/>
  <c r="H130" i="28"/>
  <c r="K121" i="28"/>
  <c r="K123" i="28"/>
  <c r="K130" i="28"/>
  <c r="H121" i="28"/>
  <c r="G121" i="28"/>
  <c r="G123" i="28"/>
  <c r="G130" i="28"/>
  <c r="F126" i="28" l="1"/>
  <c r="F127" i="28" s="1"/>
  <c r="J126" i="28"/>
  <c r="J127" i="28" s="1"/>
  <c r="H126" i="28"/>
  <c r="H127" i="28" s="1"/>
  <c r="G124" i="28"/>
  <c r="G126" i="28"/>
  <c r="G127" i="28" s="1"/>
  <c r="K124" i="28"/>
  <c r="K126" i="28"/>
  <c r="K127" i="28" s="1"/>
  <c r="G7" i="57"/>
  <c r="H7" i="57"/>
  <c r="I7" i="57"/>
  <c r="J7" i="57"/>
  <c r="K7" i="57"/>
  <c r="F8" i="57"/>
  <c r="G8" i="57"/>
  <c r="H8" i="57"/>
  <c r="I8" i="57"/>
  <c r="J8" i="57"/>
  <c r="K8" i="57"/>
  <c r="F13" i="57"/>
  <c r="G13" i="57"/>
  <c r="H13" i="57"/>
  <c r="I13" i="57"/>
  <c r="J13" i="57"/>
  <c r="K13" i="57"/>
  <c r="F15" i="57"/>
  <c r="G15" i="57"/>
  <c r="H15" i="57"/>
  <c r="I15" i="57"/>
  <c r="J15" i="57"/>
  <c r="K15" i="57"/>
  <c r="F17" i="57"/>
  <c r="G17" i="57"/>
  <c r="H17" i="57"/>
  <c r="I17" i="57"/>
  <c r="J17" i="57"/>
  <c r="K17" i="57"/>
  <c r="F20" i="57"/>
  <c r="G20" i="57"/>
  <c r="H20" i="57"/>
  <c r="I20" i="57"/>
  <c r="J20" i="57"/>
  <c r="K20" i="57"/>
  <c r="F26" i="57"/>
  <c r="G26" i="57"/>
  <c r="H26" i="57"/>
  <c r="I26" i="57"/>
  <c r="J26" i="57"/>
  <c r="K26" i="57"/>
  <c r="F28" i="57"/>
  <c r="G28" i="57"/>
  <c r="H28" i="57"/>
  <c r="I28" i="57"/>
  <c r="J28" i="57"/>
  <c r="K28" i="57"/>
  <c r="F33" i="57"/>
  <c r="G33" i="57"/>
  <c r="H33" i="57"/>
  <c r="I33" i="57"/>
  <c r="J33" i="57"/>
  <c r="K33" i="57"/>
  <c r="F36" i="57"/>
  <c r="G36" i="57"/>
  <c r="H36" i="57"/>
  <c r="I36" i="57"/>
  <c r="J36" i="57"/>
  <c r="K36" i="57"/>
  <c r="F40" i="57"/>
  <c r="G40" i="57"/>
  <c r="H40" i="57"/>
  <c r="I40" i="57"/>
  <c r="J40" i="57"/>
  <c r="K40" i="57"/>
  <c r="F44" i="57"/>
  <c r="G44" i="57"/>
  <c r="H44" i="57"/>
  <c r="I44" i="57"/>
  <c r="J44" i="57"/>
  <c r="K44" i="57"/>
  <c r="F48" i="57"/>
  <c r="G48" i="57"/>
  <c r="H48" i="57"/>
  <c r="I48" i="57"/>
  <c r="J48" i="57"/>
  <c r="K48" i="57"/>
  <c r="F14" i="56"/>
  <c r="G14" i="56"/>
  <c r="H14" i="56"/>
  <c r="I14" i="56"/>
  <c r="J14" i="56"/>
  <c r="E18" i="56"/>
  <c r="F18" i="56"/>
  <c r="G18" i="56"/>
  <c r="H18" i="56"/>
  <c r="I18" i="56"/>
  <c r="J18" i="56"/>
  <c r="E20" i="56"/>
  <c r="F20" i="56"/>
  <c r="G20" i="56"/>
  <c r="H20" i="56"/>
  <c r="I20" i="56"/>
  <c r="J20" i="56"/>
  <c r="E22" i="56"/>
  <c r="F22" i="56"/>
  <c r="G22" i="56"/>
  <c r="H22" i="56"/>
  <c r="I22" i="56"/>
  <c r="J22" i="56"/>
  <c r="E24" i="56"/>
  <c r="F24" i="56"/>
  <c r="G24" i="56"/>
  <c r="H24" i="56"/>
  <c r="I24" i="56"/>
  <c r="J24" i="56"/>
  <c r="F28" i="56"/>
  <c r="G28" i="56"/>
  <c r="H28" i="56"/>
  <c r="I28" i="56"/>
  <c r="J28" i="56"/>
  <c r="E29" i="56"/>
  <c r="F29" i="56"/>
  <c r="G29" i="56"/>
  <c r="H29" i="56"/>
  <c r="I29" i="56"/>
  <c r="J29" i="56"/>
  <c r="E30" i="56"/>
  <c r="F30" i="56"/>
  <c r="G30" i="56"/>
  <c r="H30" i="56"/>
  <c r="I30" i="56"/>
  <c r="J30" i="56"/>
  <c r="E31" i="56"/>
  <c r="F31" i="56"/>
  <c r="G31" i="56"/>
  <c r="H31" i="56"/>
  <c r="I31" i="56"/>
  <c r="J31" i="56"/>
  <c r="F49" i="56"/>
  <c r="G49" i="56"/>
  <c r="H49" i="56"/>
  <c r="I49" i="56"/>
  <c r="J49" i="56"/>
  <c r="E51" i="56"/>
  <c r="F51" i="56"/>
  <c r="G51" i="56"/>
  <c r="H51" i="56"/>
  <c r="I51" i="56"/>
  <c r="J51" i="56"/>
  <c r="E53" i="56"/>
  <c r="F53" i="56"/>
  <c r="G53" i="56"/>
  <c r="H53" i="56"/>
  <c r="I53" i="56"/>
  <c r="J53" i="56"/>
  <c r="E55" i="56"/>
  <c r="F55" i="56"/>
  <c r="G55" i="56"/>
  <c r="H55" i="56"/>
  <c r="I55" i="56"/>
  <c r="J55" i="56"/>
  <c r="E58" i="56"/>
  <c r="F58" i="56"/>
  <c r="G58" i="56"/>
  <c r="H58" i="56"/>
  <c r="I58" i="56"/>
  <c r="J58" i="56"/>
  <c r="E59" i="56"/>
  <c r="F59" i="56"/>
  <c r="G59" i="56"/>
  <c r="H59" i="56"/>
  <c r="I59" i="56"/>
  <c r="J59" i="56"/>
  <c r="E63" i="56"/>
  <c r="F63" i="56"/>
  <c r="G63" i="56"/>
  <c r="H63" i="56"/>
  <c r="I63" i="56"/>
  <c r="J63" i="56"/>
  <c r="E64" i="56"/>
  <c r="F64" i="56"/>
  <c r="G64" i="56"/>
  <c r="H64" i="56"/>
  <c r="I64" i="56"/>
  <c r="J64" i="56"/>
  <c r="K9" i="28"/>
  <c r="K10" i="28"/>
  <c r="K11" i="28"/>
  <c r="K12" i="28"/>
  <c r="K33" i="28"/>
  <c r="K35" i="28"/>
  <c r="C37" i="28"/>
  <c r="C38" i="28"/>
  <c r="K47" i="28"/>
  <c r="K49" i="28"/>
  <c r="C51" i="28"/>
  <c r="C52" i="28"/>
  <c r="G61" i="28"/>
  <c r="H61" i="28"/>
  <c r="I61" i="28"/>
  <c r="J61" i="28"/>
  <c r="K61" i="28"/>
  <c r="G62" i="28"/>
  <c r="H62" i="28"/>
  <c r="I62" i="28"/>
  <c r="J62" i="28"/>
  <c r="K62" i="28"/>
  <c r="K63" i="28"/>
  <c r="K64" i="28"/>
  <c r="C66" i="28"/>
  <c r="C67" i="28"/>
  <c r="G76" i="28"/>
  <c r="H76" i="28"/>
  <c r="I76" i="28"/>
  <c r="J76" i="28"/>
  <c r="K76" i="28"/>
  <c r="G77" i="28"/>
  <c r="H77" i="28"/>
  <c r="I77" i="28"/>
  <c r="J77" i="28"/>
  <c r="K77" i="28"/>
  <c r="K78" i="28"/>
  <c r="K79" i="28"/>
  <c r="C81" i="28"/>
  <c r="C82" i="28"/>
  <c r="K91" i="28"/>
  <c r="K94" i="28"/>
  <c r="C96" i="28"/>
  <c r="C97" i="28"/>
  <c r="D109" i="28"/>
  <c r="F133" i="28"/>
  <c r="G133" i="28"/>
  <c r="H133" i="28"/>
  <c r="I133" i="28"/>
  <c r="J133" i="28"/>
  <c r="K133" i="28"/>
  <c r="G134" i="28"/>
  <c r="H134" i="28"/>
  <c r="I134" i="28"/>
  <c r="J134" i="28"/>
  <c r="K134" i="28"/>
  <c r="F135" i="28"/>
  <c r="G135" i="28"/>
  <c r="H135" i="28"/>
  <c r="I135" i="28"/>
  <c r="J135" i="28"/>
  <c r="K135" i="28"/>
  <c r="F136" i="28"/>
  <c r="G136" i="28"/>
  <c r="H136" i="28"/>
  <c r="I136" i="28"/>
  <c r="J136" i="28"/>
  <c r="K136" i="28"/>
  <c r="F137" i="28"/>
  <c r="G137" i="28"/>
  <c r="H137" i="28"/>
  <c r="I137" i="28"/>
  <c r="J137" i="28"/>
  <c r="K137" i="28"/>
  <c r="F138" i="28"/>
  <c r="G138" i="28"/>
  <c r="H138" i="28"/>
  <c r="I138" i="28"/>
  <c r="J138" i="28"/>
  <c r="K138" i="28"/>
  <c r="F139" i="28"/>
  <c r="G139" i="28"/>
  <c r="H139" i="28"/>
  <c r="I139" i="28"/>
  <c r="J139" i="28"/>
  <c r="K139" i="28"/>
  <c r="F140" i="28"/>
  <c r="G140" i="28"/>
  <c r="H140" i="28"/>
  <c r="I140" i="28"/>
  <c r="J140" i="28"/>
  <c r="K140" i="28"/>
  <c r="F142" i="28"/>
  <c r="G142" i="28"/>
  <c r="H142" i="28"/>
  <c r="I142" i="28"/>
  <c r="J142" i="28"/>
  <c r="K142" i="28"/>
  <c r="F143" i="28"/>
  <c r="G143" i="28"/>
  <c r="H143" i="28"/>
  <c r="I143" i="28"/>
  <c r="J143" i="28"/>
  <c r="K143" i="28"/>
  <c r="F146" i="28"/>
  <c r="G146" i="28"/>
  <c r="H146" i="28"/>
  <c r="I146" i="28"/>
  <c r="J146" i="28"/>
  <c r="K146" i="28"/>
  <c r="G147" i="28"/>
  <c r="H147" i="28"/>
  <c r="I147" i="28"/>
  <c r="J147" i="28"/>
  <c r="K147" i="28"/>
  <c r="F148" i="28"/>
  <c r="G148" i="28"/>
  <c r="H148" i="28"/>
  <c r="I148" i="28"/>
  <c r="J148" i="28"/>
  <c r="K148" i="28"/>
  <c r="F149" i="28"/>
  <c r="G149" i="28"/>
  <c r="H149" i="28"/>
  <c r="I149" i="28"/>
  <c r="J149" i="28"/>
  <c r="K149" i="28"/>
  <c r="F150" i="28"/>
  <c r="G150" i="28"/>
  <c r="H150" i="28"/>
  <c r="I150" i="28"/>
  <c r="J150" i="28"/>
  <c r="K150" i="28"/>
  <c r="F151" i="28"/>
  <c r="G151" i="28"/>
  <c r="H151" i="28"/>
  <c r="I151" i="28"/>
  <c r="J151" i="28"/>
  <c r="K151" i="28"/>
  <c r="F152" i="28"/>
  <c r="G152" i="28"/>
  <c r="H152" i="28"/>
  <c r="I152" i="28"/>
  <c r="J152" i="28"/>
  <c r="K152" i="28"/>
  <c r="F153" i="28"/>
  <c r="G153" i="28"/>
  <c r="H153" i="28"/>
  <c r="I153" i="28"/>
  <c r="J153" i="28"/>
  <c r="K153" i="28"/>
  <c r="F155" i="28"/>
  <c r="G155" i="28"/>
  <c r="H155" i="28"/>
  <c r="I155" i="28"/>
  <c r="J155" i="28"/>
  <c r="K155" i="28"/>
  <c r="F156" i="28"/>
  <c r="G156" i="28"/>
  <c r="H156" i="28"/>
  <c r="I156" i="28"/>
  <c r="J156" i="28"/>
  <c r="K156" i="28"/>
  <c r="G26" i="26"/>
  <c r="H26" i="26"/>
  <c r="I26" i="26"/>
  <c r="J26" i="26"/>
  <c r="K26" i="26"/>
  <c r="L26" i="26"/>
  <c r="G29" i="26"/>
  <c r="H29" i="26"/>
  <c r="I29" i="26"/>
  <c r="J29" i="26"/>
  <c r="K29" i="26"/>
  <c r="L29" i="26"/>
  <c r="G31" i="26"/>
  <c r="H31" i="26"/>
  <c r="I31" i="26"/>
  <c r="J31" i="26"/>
  <c r="K31" i="26"/>
  <c r="L31" i="26"/>
  <c r="G35" i="26"/>
  <c r="H35" i="26"/>
  <c r="I35" i="26"/>
  <c r="J35" i="26"/>
  <c r="K35" i="26"/>
  <c r="L35" i="26"/>
  <c r="G39" i="26"/>
  <c r="H39" i="26"/>
  <c r="I39" i="26"/>
  <c r="J39" i="26"/>
  <c r="K39" i="26"/>
  <c r="L39" i="26"/>
  <c r="G44" i="26"/>
  <c r="H44" i="26"/>
  <c r="I44" i="26"/>
  <c r="J44" i="26"/>
  <c r="K44" i="26"/>
  <c r="L44" i="26"/>
  <c r="G77" i="26"/>
  <c r="H77" i="26"/>
  <c r="I77" i="26"/>
  <c r="J77" i="26"/>
  <c r="K77" i="26"/>
  <c r="L77" i="26"/>
  <c r="G84" i="26"/>
  <c r="H84" i="26"/>
  <c r="I84" i="26"/>
  <c r="J84" i="26"/>
  <c r="K84" i="26"/>
  <c r="L84" i="26"/>
  <c r="G87" i="26"/>
  <c r="H87" i="26"/>
  <c r="I87" i="26"/>
  <c r="J87" i="26"/>
  <c r="K87" i="26"/>
  <c r="L87" i="26"/>
  <c r="G89" i="26"/>
  <c r="H89" i="26"/>
  <c r="I89" i="26"/>
  <c r="J89" i="26"/>
  <c r="K89" i="26"/>
  <c r="L89" i="26"/>
  <c r="G101" i="26"/>
  <c r="H101" i="26"/>
  <c r="I101" i="26"/>
  <c r="J101" i="26"/>
  <c r="K101" i="26"/>
  <c r="L101" i="26"/>
  <c r="G120" i="26"/>
  <c r="H120" i="26"/>
  <c r="I120" i="26"/>
  <c r="J120" i="26"/>
  <c r="K120" i="26"/>
  <c r="L120" i="26"/>
  <c r="G123" i="26"/>
  <c r="H123" i="26"/>
  <c r="I123" i="26"/>
  <c r="J123" i="26"/>
  <c r="K123" i="26"/>
  <c r="L123" i="26"/>
  <c r="G125" i="26"/>
  <c r="H125" i="26"/>
  <c r="I125" i="26"/>
  <c r="J125" i="26"/>
  <c r="K125" i="26"/>
  <c r="L125" i="26"/>
  <c r="G128" i="26"/>
  <c r="H128" i="26"/>
  <c r="I128" i="26"/>
  <c r="J128" i="26"/>
  <c r="K128" i="26"/>
  <c r="L128" i="26"/>
  <c r="G131" i="26"/>
  <c r="H131" i="26"/>
  <c r="I131" i="26"/>
  <c r="J131" i="26"/>
  <c r="K131" i="26"/>
  <c r="L131" i="26"/>
  <c r="G133" i="26"/>
  <c r="H133" i="26"/>
  <c r="I133" i="26"/>
  <c r="J133" i="26"/>
  <c r="K133" i="26"/>
  <c r="L133" i="26"/>
  <c r="G135" i="26"/>
  <c r="H135" i="26"/>
  <c r="I135" i="26"/>
  <c r="J135" i="26"/>
  <c r="K135" i="26"/>
  <c r="L135" i="26"/>
  <c r="G136" i="26"/>
  <c r="H136" i="26"/>
  <c r="I136" i="26"/>
  <c r="J136" i="26"/>
  <c r="K136" i="26"/>
  <c r="L136" i="26"/>
  <c r="G158" i="26"/>
  <c r="H158" i="26"/>
  <c r="I158" i="26"/>
  <c r="J158" i="26"/>
  <c r="K158" i="26"/>
  <c r="L158" i="26"/>
  <c r="G161" i="26"/>
  <c r="H161" i="26"/>
  <c r="I161" i="26"/>
  <c r="J161" i="26"/>
  <c r="K161" i="26"/>
  <c r="L161" i="26"/>
  <c r="G163" i="26"/>
  <c r="H163" i="26"/>
  <c r="I163" i="26"/>
  <c r="J163" i="26"/>
  <c r="K163" i="26"/>
  <c r="L163" i="26"/>
  <c r="G165" i="26"/>
  <c r="H165" i="26"/>
  <c r="I165" i="26"/>
  <c r="J165" i="26"/>
  <c r="K165" i="26"/>
  <c r="L165" i="26"/>
  <c r="G175" i="26"/>
  <c r="H175" i="26"/>
  <c r="I175" i="26"/>
  <c r="J175" i="26"/>
  <c r="K175" i="26"/>
  <c r="L175" i="26"/>
  <c r="G190" i="26"/>
  <c r="H190" i="26"/>
  <c r="I190" i="26"/>
  <c r="J190" i="26"/>
  <c r="K190" i="26"/>
  <c r="L190" i="26"/>
  <c r="G192" i="26"/>
  <c r="H192" i="26"/>
  <c r="I192" i="26"/>
  <c r="J192" i="26"/>
  <c r="K192" i="26"/>
  <c r="L192" i="26"/>
  <c r="G194" i="26"/>
  <c r="H194" i="26"/>
  <c r="I194" i="26"/>
  <c r="J194" i="26"/>
  <c r="K194" i="26"/>
  <c r="L194" i="26"/>
  <c r="G196" i="26"/>
  <c r="H196" i="26"/>
  <c r="I196" i="26"/>
  <c r="J196" i="26"/>
  <c r="K196" i="26"/>
  <c r="L196" i="26"/>
  <c r="H197" i="26"/>
  <c r="I197" i="26"/>
  <c r="J197" i="26"/>
  <c r="K197" i="26"/>
  <c r="L197" i="26"/>
  <c r="G198" i="26"/>
  <c r="H198" i="26"/>
  <c r="I198" i="26"/>
  <c r="J198" i="26"/>
  <c r="K198" i="26"/>
  <c r="L198" i="26"/>
  <c r="H11" i="23"/>
  <c r="I11" i="23"/>
  <c r="J11" i="23"/>
  <c r="K11" i="23"/>
  <c r="L11" i="23"/>
  <c r="G17" i="23"/>
  <c r="H17" i="23"/>
  <c r="I17" i="23"/>
  <c r="J17" i="23"/>
  <c r="K17" i="23"/>
  <c r="L17" i="23"/>
  <c r="G18" i="23"/>
  <c r="H18" i="23"/>
  <c r="I18" i="23"/>
  <c r="J18" i="23"/>
  <c r="K18" i="23"/>
  <c r="L18" i="23"/>
  <c r="G19" i="23"/>
  <c r="H19" i="23"/>
  <c r="I19" i="23"/>
  <c r="J19" i="23"/>
  <c r="K19" i="23"/>
  <c r="L19" i="23"/>
  <c r="G20" i="23"/>
  <c r="H20" i="23"/>
  <c r="I20" i="23"/>
  <c r="J20" i="23"/>
  <c r="K20" i="23"/>
  <c r="L20" i="23"/>
  <c r="G22" i="23"/>
  <c r="H22" i="23"/>
  <c r="I22" i="23"/>
  <c r="J22" i="23"/>
  <c r="K22" i="23"/>
  <c r="L22" i="23"/>
</calcChain>
</file>

<file path=xl/sharedStrings.xml><?xml version="1.0" encoding="utf-8"?>
<sst xmlns="http://schemas.openxmlformats.org/spreadsheetml/2006/main" count="411" uniqueCount="278">
  <si>
    <t>Interest Expense</t>
  </si>
  <si>
    <t>Pretax Income</t>
  </si>
  <si>
    <t>Net Income</t>
  </si>
  <si>
    <t>Total</t>
  </si>
  <si>
    <t>Projections</t>
  </si>
  <si>
    <t>Tax Rate</t>
  </si>
  <si>
    <t>ASSETS</t>
  </si>
  <si>
    <t>Current Assets</t>
  </si>
  <si>
    <t>Cash</t>
  </si>
  <si>
    <t>Total Current Assets</t>
  </si>
  <si>
    <t>Other Assets</t>
  </si>
  <si>
    <t>Total Other Assets</t>
  </si>
  <si>
    <t>TOTAL ASSETS</t>
  </si>
  <si>
    <t>LIABILITIES</t>
  </si>
  <si>
    <t>Current Liabilities</t>
  </si>
  <si>
    <t>Total Current Liabilities</t>
  </si>
  <si>
    <t>Long Term Liabilities</t>
  </si>
  <si>
    <t>Total Debt</t>
  </si>
  <si>
    <t>TOTAL LIABILITIES</t>
  </si>
  <si>
    <t>EQUITY</t>
  </si>
  <si>
    <t>TOTAL EQUITY</t>
  </si>
  <si>
    <t>TOTAL LIABILITIES &amp; EQUITY</t>
  </si>
  <si>
    <t>Goodwill</t>
  </si>
  <si>
    <t>Net Intangible Assets</t>
  </si>
  <si>
    <t>Accounts Receivable</t>
  </si>
  <si>
    <t>Add Back Non-Cash Items</t>
  </si>
  <si>
    <t>Total Non-Cash Adjustments</t>
  </si>
  <si>
    <t>Operating Cash Flow Before Working Capital</t>
  </si>
  <si>
    <t>Changes in Working Capital</t>
  </si>
  <si>
    <t>Total Changes in Working Capital</t>
  </si>
  <si>
    <t>Cash Flow from Operations</t>
  </si>
  <si>
    <t>Investment Activities</t>
  </si>
  <si>
    <t>Capital Expenditures</t>
  </si>
  <si>
    <t>Beginning Cash Balance</t>
  </si>
  <si>
    <t>Ending Balance</t>
  </si>
  <si>
    <t>Depreciation</t>
  </si>
  <si>
    <t>Gross Profit</t>
  </si>
  <si>
    <t>SG&amp;A</t>
  </si>
  <si>
    <t>Uses</t>
  </si>
  <si>
    <t>Sources</t>
  </si>
  <si>
    <t>Transaction &amp; Financing Adjustments</t>
  </si>
  <si>
    <t>USES</t>
  </si>
  <si>
    <t>SOURCES</t>
  </si>
  <si>
    <t>Transaction</t>
  </si>
  <si>
    <t>BALANCE SHEET</t>
  </si>
  <si>
    <t>% of Sales</t>
  </si>
  <si>
    <t>Growth (%)</t>
  </si>
  <si>
    <t>INCOME STATEMENT</t>
  </si>
  <si>
    <t>Total Interest</t>
  </si>
  <si>
    <t>INTEREST EXPENSE</t>
  </si>
  <si>
    <t>Interest Paid</t>
  </si>
  <si>
    <t>Less: Scheduled Amoritzation</t>
  </si>
  <si>
    <t>Plus: Additions</t>
  </si>
  <si>
    <t>Beginning Balance</t>
  </si>
  <si>
    <t>GOODWILL &amp; INTANGIBLES</t>
  </si>
  <si>
    <t>Less: Depreciation</t>
  </si>
  <si>
    <t>Plus: Capital Expenditures</t>
  </si>
  <si>
    <t>Equity Value</t>
  </si>
  <si>
    <t>Enterprise Value</t>
  </si>
  <si>
    <t>CASH FLOW STATEMENT</t>
  </si>
  <si>
    <t>Net Cash Flow</t>
  </si>
  <si>
    <t>Ending Cash Balance</t>
  </si>
  <si>
    <t>Less: Minimum Cash Balance</t>
  </si>
  <si>
    <t>Closing Fee</t>
  </si>
  <si>
    <t>Interest Rate</t>
  </si>
  <si>
    <t>EXIT ANALYSIS</t>
  </si>
  <si>
    <t>EV/EBITDA Multiple</t>
  </si>
  <si>
    <t>Less: Debt</t>
  </si>
  <si>
    <t>Plus: Cash</t>
  </si>
  <si>
    <t>IMPLIED VALUATION CALCULATION (EXIT)</t>
  </si>
  <si>
    <t>EBITDA</t>
  </si>
  <si>
    <t>Dividends</t>
  </si>
  <si>
    <t>Investment</t>
  </si>
  <si>
    <t>Debt Repayment</t>
  </si>
  <si>
    <t>IRR</t>
  </si>
  <si>
    <t>Cash Multiple</t>
  </si>
  <si>
    <t>Exit Year 5</t>
  </si>
  <si>
    <t>Interest</t>
  </si>
  <si>
    <t>Cash at Beginning of Year</t>
  </si>
  <si>
    <t>Capitalized Financing Fee Asset</t>
  </si>
  <si>
    <t>AMORTIZATION OF FINANCING FEES</t>
  </si>
  <si>
    <t>Amortization</t>
  </si>
  <si>
    <t>Recapitalization</t>
  </si>
  <si>
    <t>Historical</t>
  </si>
  <si>
    <t>Revolver Balance</t>
  </si>
  <si>
    <t>Revolving Line of Credit</t>
  </si>
  <si>
    <t>REVOLVING LINE OF CREDIT</t>
  </si>
  <si>
    <t>Post-Transaction</t>
  </si>
  <si>
    <t>Property, Plant and Equipment</t>
  </si>
  <si>
    <t>Total Property, Plant and Equipment</t>
  </si>
  <si>
    <t>OLDCO Notes Payable</t>
  </si>
  <si>
    <t>NEWCO Revolving Line of Credit</t>
  </si>
  <si>
    <t>BALANCE SHEET ASSUMPTIONS</t>
  </si>
  <si>
    <t>AR Days</t>
  </si>
  <si>
    <t>COGS</t>
  </si>
  <si>
    <t xml:space="preserve">Amortization of Intangible </t>
  </si>
  <si>
    <t>AP Days</t>
  </si>
  <si>
    <t>Check</t>
  </si>
  <si>
    <t>CapEx</t>
  </si>
  <si>
    <t>SENIOR DEBT</t>
  </si>
  <si>
    <t>NEWCO Senior Debt</t>
  </si>
  <si>
    <t xml:space="preserve">Amortization </t>
  </si>
  <si>
    <t>Subordinated Debt</t>
  </si>
  <si>
    <t>Equity (%)</t>
  </si>
  <si>
    <t>NA</t>
  </si>
  <si>
    <t>Senior Debt</t>
  </si>
  <si>
    <t>OLDCO Debt</t>
  </si>
  <si>
    <t>OLDCO Notes Payable - LOC</t>
  </si>
  <si>
    <t>EBIT</t>
  </si>
  <si>
    <t>Sub Debt</t>
  </si>
  <si>
    <t>Trnsctn Expenses</t>
  </si>
  <si>
    <t>Inventory</t>
  </si>
  <si>
    <t>OLDCO Notes Payable - Stockholders</t>
  </si>
  <si>
    <t>NM</t>
  </si>
  <si>
    <t>Accrued Interest</t>
  </si>
  <si>
    <t>TOTAL</t>
  </si>
  <si>
    <t>OWNERSHIP STRUCTURE</t>
  </si>
  <si>
    <t>Intermediary Fee</t>
  </si>
  <si>
    <t>Income Tax Benefit</t>
  </si>
  <si>
    <t>PIK Interest</t>
  </si>
  <si>
    <t>Cash Interest</t>
  </si>
  <si>
    <t xml:space="preserve">Accounts Payable </t>
  </si>
  <si>
    <t>Accruals Expenses</t>
  </si>
  <si>
    <t>EBITDA Multiple</t>
  </si>
  <si>
    <t>Scenario</t>
  </si>
  <si>
    <t>Equity</t>
  </si>
  <si>
    <t>Seller Proceeds</t>
  </si>
  <si>
    <t>EV as Multiple of Min EBITDA</t>
  </si>
  <si>
    <t>Senior Debt EBITDA Multiple</t>
  </si>
  <si>
    <t>Sub Debt EBITDA Multiple</t>
  </si>
  <si>
    <t>Transaction Expenses</t>
  </si>
  <si>
    <t>Historical EBITDA @ Close</t>
  </si>
  <si>
    <t>Exit Year</t>
  </si>
  <si>
    <t>Current Maturities of LT Debt</t>
  </si>
  <si>
    <t>Revenue</t>
  </si>
  <si>
    <t>GM</t>
  </si>
  <si>
    <t>EBITDA (adj for mgmt fee)</t>
  </si>
  <si>
    <t>Growth Rate (%)</t>
  </si>
  <si>
    <t>Prepaid Expenses</t>
  </si>
  <si>
    <t>Other Current Asset</t>
  </si>
  <si>
    <t>PP&amp;E Item 1</t>
  </si>
  <si>
    <t>Capitalized Transaction Costs</t>
  </si>
  <si>
    <t>Trademarks</t>
  </si>
  <si>
    <t>Other Long Term Asset</t>
  </si>
  <si>
    <t>Other Intangible Assets</t>
  </si>
  <si>
    <t>Accounts Payable - Trade</t>
  </si>
  <si>
    <t>Accruals</t>
  </si>
  <si>
    <t>Other Liability</t>
  </si>
  <si>
    <t>Projected</t>
  </si>
  <si>
    <t>Adjustment to EBITDA</t>
  </si>
  <si>
    <t>Intangibles</t>
  </si>
  <si>
    <t>COGS (Net of D &amp; A)</t>
  </si>
  <si>
    <t>SG&amp;A (Net of D &amp; A)</t>
  </si>
  <si>
    <t>SCENARIO</t>
  </si>
  <si>
    <t>Tax Expense</t>
  </si>
  <si>
    <t>Misc. Income / (Expense)</t>
  </si>
  <si>
    <t>NEWCO Sub Debt</t>
  </si>
  <si>
    <t>PP&amp;E / D&amp;A</t>
  </si>
  <si>
    <t>DEBT RATIOS / LIQUIDITY</t>
  </si>
  <si>
    <t>Beg. Cash Balance</t>
  </si>
  <si>
    <t>Fixed Charge Coverage Ratio</t>
  </si>
  <si>
    <t>Cash Interest Expense</t>
  </si>
  <si>
    <t>Cash Taxes</t>
  </si>
  <si>
    <t>Senior Leverage Ratio</t>
  </si>
  <si>
    <t>Total Leverage Ratio</t>
  </si>
  <si>
    <t>End Cash Balance</t>
  </si>
  <si>
    <t xml:space="preserve">Fixed Charge Coverage </t>
  </si>
  <si>
    <t>Prepaids &amp; Other Current Assets</t>
  </si>
  <si>
    <t>Seniority Premium</t>
  </si>
  <si>
    <t>Franchise Tax</t>
  </si>
  <si>
    <t>Adjusted EBITDA</t>
  </si>
  <si>
    <t>DEBT RATIOS ($000s)</t>
  </si>
  <si>
    <t>Net Debt</t>
  </si>
  <si>
    <t>Less: Cash Balance</t>
  </si>
  <si>
    <t>Total Debt Service Coverage Ratio</t>
  </si>
  <si>
    <t xml:space="preserve">Plus: Additions </t>
  </si>
  <si>
    <t>Minimum</t>
  </si>
  <si>
    <t>Maximum</t>
  </si>
  <si>
    <t>Total Leverage Ratio and Debt Burden Implies EBITDA Requirement of…</t>
  </si>
  <si>
    <t>Senior Leverage Ratio and Debt Burden Implies EBITDA Requirement of…</t>
  </si>
  <si>
    <t>COMPANY</t>
  </si>
  <si>
    <t>NO</t>
  </si>
  <si>
    <t>Senior Lender Bank Ratios</t>
  </si>
  <si>
    <t xml:space="preserve">Goodwill </t>
  </si>
  <si>
    <t xml:space="preserve">Net Sales </t>
  </si>
  <si>
    <t>[]</t>
  </si>
  <si>
    <t xml:space="preserve">EBITDA </t>
  </si>
  <si>
    <t>Sources &amp; Uses</t>
  </si>
  <si>
    <t>Exit Analysis</t>
  </si>
  <si>
    <t>Post-Transaction Financial Statements</t>
  </si>
  <si>
    <t>IS Detail</t>
  </si>
  <si>
    <t>Debt Schedule</t>
  </si>
  <si>
    <t>PP&amp;E Schedule</t>
  </si>
  <si>
    <t>Worksheet</t>
  </si>
  <si>
    <t>Description</t>
  </si>
  <si>
    <t>#</t>
  </si>
  <si>
    <t>Debt Ratios</t>
  </si>
  <si>
    <t xml:space="preserve">SOURCES &amp; USES </t>
  </si>
  <si>
    <t>Workbook Index</t>
  </si>
  <si>
    <t>Exit analysis, data tables and scenarios.</t>
  </si>
  <si>
    <t>Financial statements and balance sheet adjustments.</t>
  </si>
  <si>
    <t>Income statement scenarios 1 through 3.</t>
  </si>
  <si>
    <t xml:space="preserve">DEBT SCHEDULE </t>
  </si>
  <si>
    <t>Supporting schedule.</t>
  </si>
  <si>
    <t xml:space="preserve">Debt ratios and liquidity analysis. </t>
  </si>
  <si>
    <t>Financing Fees (Sub Debt)</t>
  </si>
  <si>
    <t>Financing Fees (Senior Debt)</t>
  </si>
  <si>
    <t>Financing Fees (L.O.C.)</t>
  </si>
  <si>
    <t>Line of Credit</t>
  </si>
  <si>
    <t>Fee (%)</t>
  </si>
  <si>
    <t>Undrawn LOC</t>
  </si>
  <si>
    <t>% Amortization (Scheduled Amortization .. Debt Repayment)</t>
  </si>
  <si>
    <t>Less: Scheduled Amortization (% Amortization)</t>
  </si>
  <si>
    <t>Comments</t>
  </si>
  <si>
    <t>Mandatory Debt Repayment</t>
  </si>
  <si>
    <t>ON</t>
  </si>
  <si>
    <t>DATA TABLES</t>
  </si>
  <si>
    <t>INCOME STATEMENT SCENARIO SUMMARY</t>
  </si>
  <si>
    <t>Retained Earnings</t>
  </si>
  <si>
    <t>Cash Flow from Operating Activities</t>
  </si>
  <si>
    <t>Cash Flow from Investing Activities</t>
  </si>
  <si>
    <t>Cash Flow from Investing</t>
  </si>
  <si>
    <t>Cash Flow from Financing Activities</t>
  </si>
  <si>
    <t>None</t>
  </si>
  <si>
    <t xml:space="preserve">Equity Value </t>
  </si>
  <si>
    <t>If total % Amortizaztion does not sum to 100%, must have an exit.</t>
  </si>
  <si>
    <t>Senior amortizes by % of principal. Sub amortizes by number of years.</t>
  </si>
  <si>
    <t>PIK interest to be addressed in future videos.</t>
  </si>
  <si>
    <t>SOURCES AND USES</t>
  </si>
  <si>
    <t>Pre-Transaction</t>
  </si>
  <si>
    <t>Sub Debt - Scheduled</t>
  </si>
  <si>
    <t>Senior Debt - Scheduled</t>
  </si>
  <si>
    <t>Preferred Stock</t>
  </si>
  <si>
    <t>PREFERRED STOCK A</t>
  </si>
  <si>
    <t>PREFERRED STOCK</t>
  </si>
  <si>
    <t>Preferred Dividend</t>
  </si>
  <si>
    <t>Preferred Cash Dividend</t>
  </si>
  <si>
    <t>Preferred PIK Dividend</t>
  </si>
  <si>
    <t>Preferred Stock Cash Dividend</t>
  </si>
  <si>
    <t xml:space="preserve">Percentage PIK Dividend </t>
  </si>
  <si>
    <t>Plus: Payment in Kind ("PIK") Dividend</t>
  </si>
  <si>
    <t>Less: Preferred Stock</t>
  </si>
  <si>
    <t>Principal Repayment</t>
  </si>
  <si>
    <t>CASH AVAILABLE FOR CASH FLOW SWEEP</t>
  </si>
  <si>
    <t>Cash Generation in Current Period (Prior to Financing Activities)</t>
  </si>
  <si>
    <t xml:space="preserve">Cash Available for Debt Repayment </t>
  </si>
  <si>
    <t>Total Mandatory Debt Payments</t>
  </si>
  <si>
    <t>Cash Available for Cash Flow Sweep (Cash Required)</t>
  </si>
  <si>
    <t>Note: Includes Preferred Stock Cash Dividend. Lender calc. likely to deviate.</t>
  </si>
  <si>
    <t>Drawdown (Repayment)</t>
  </si>
  <si>
    <t>Less: Optional Repayment [Cash Sweep]</t>
  </si>
  <si>
    <t>OFF</t>
  </si>
  <si>
    <t>Senior Debt - Optional Repayment</t>
  </si>
  <si>
    <t>Sub Debt - Optional Repayment</t>
  </si>
  <si>
    <t>Preferred Stock - Optional Repyament</t>
  </si>
  <si>
    <t xml:space="preserve">"Scheduled" and "Optional Repayment" can be combined on the same line. </t>
  </si>
  <si>
    <t>We have separated these items to help explain what is taking place.</t>
  </si>
  <si>
    <t>Building an LBO Template - Cash Flow Sweep</t>
  </si>
  <si>
    <t>SCENARIOS</t>
  </si>
  <si>
    <t>Net Sales Growth</t>
  </si>
  <si>
    <t>COGS (Net of D &amp; A) % of Sales</t>
  </si>
  <si>
    <t>SG&amp;A (Net of D &amp; A) % of Sales</t>
  </si>
  <si>
    <t>Sources &amp; Uses and EV as a multiple of EBITDA.</t>
  </si>
  <si>
    <t>Common Stock B</t>
  </si>
  <si>
    <t>Common B</t>
  </si>
  <si>
    <t>Common A</t>
  </si>
  <si>
    <t>Sponsor:</t>
  </si>
  <si>
    <t>Mgmt. Equity:</t>
  </si>
  <si>
    <t>Undiluted</t>
  </si>
  <si>
    <t>$ Invested</t>
  </si>
  <si>
    <t>Diluted</t>
  </si>
  <si>
    <t>Common Stock A</t>
  </si>
  <si>
    <t>Incentive Equity</t>
  </si>
  <si>
    <t>% of Revenue</t>
  </si>
  <si>
    <t>% Growth (YoY)</t>
  </si>
  <si>
    <t>% of Capital Expenditures</t>
  </si>
  <si>
    <t>% of PP&amp;E</t>
  </si>
  <si>
    <t>SPONSOR: PREFERRED STOCK + COMMON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</si>
</sst>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\-yy;@"/>
    <numFmt numFmtId="167" formatCode="&quot;Year &quot;\ 0"/>
    <numFmt numFmtId="168" formatCode="_(* #,##0.0_);_(* \(#,##0.0\);_(* &quot;-&quot;?_);_(@_)"/>
    <numFmt numFmtId="169" formatCode="_(* #,##0.000_);_(* \(#,##0.000\);_(* &quot;-&quot;???_);_(@_)"/>
    <numFmt numFmtId="170" formatCode="0.0\x"/>
    <numFmt numFmtId="171" formatCode="_(&quot;$&quot;* #,##0_);_(&quot;$&quot;* \(#,##0\);_(&quot;$&quot;* &quot;-&quot;?_);_(@_)"/>
    <numFmt numFmtId="172" formatCode="_(* #,##0_);_(* \(#,##0\);_(* &quot;-&quot;?_);_(@_)"/>
    <numFmt numFmtId="173" formatCode="&quot;Year &quot;0"/>
    <numFmt numFmtId="174" formatCode="0&quot; yrs&quot;"/>
    <numFmt numFmtId="175" formatCode="&quot;PP&amp;E Item &quot;0"/>
    <numFmt numFmtId="176" formatCode="&quot;Net Sales Scenario &quot;0"/>
    <numFmt numFmtId="177" formatCode="&quot;Period &quot;\ 0"/>
    <numFmt numFmtId="178" formatCode="0&quot; Months&quot;"/>
    <numFmt numFmtId="179" formatCode="0.0\x&quot; Exit Multiple&quot;"/>
    <numFmt numFmtId="180" formatCode="0.0%_);\(0.0%\);0.0%_);@_%_)"/>
    <numFmt numFmtId="181" formatCode="#,##0_%_);\(#,##0\)_%;#,##0_%_);@_%_)"/>
    <numFmt numFmtId="182" formatCode="&quot;$&quot;#,##0_%_);\(&quot;$&quot;#,##0\)_%;&quot;$&quot;#,##0_%_);@_%_)"/>
    <numFmt numFmtId="183" formatCode="&quot;$&quot;#,##0.00_%_);\(&quot;$&quot;#,##0.00\)_%;&quot;$&quot;#,##0.00_%_);@_%_)"/>
    <numFmt numFmtId="184" formatCode="m/d/yy_%_)"/>
    <numFmt numFmtId="185" formatCode="0_%_);\(0\)_%;0_%_);@_%_)"/>
    <numFmt numFmtId="186" formatCode="0.0\%_);\(0.0\%\);0.0\%_);@_%_)"/>
    <numFmt numFmtId="187" formatCode="0.0&quot;x &quot;"/>
    <numFmt numFmtId="188" formatCode="0.00&quot;x &quot;"/>
    <numFmt numFmtId="189" formatCode="&quot;Scenario &quot;0"/>
    <numFmt numFmtId="190" formatCode="&quot;SCENARIO &quot;0"/>
    <numFmt numFmtId="191" formatCode="0.0\x\ \ "/>
    <numFmt numFmtId="192" formatCode="0.00\x\ \ "/>
  </numFmts>
  <fonts count="75"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1"/>
      <color theme="6"/>
      <name val="Calibri"/>
      <family val="2"/>
      <scheme val="minor"/>
    </font>
    <font>
      <sz val="9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Trebuchet MS"/>
      <family val="2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166" fontId="0" fillId="0" borderId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19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80" fontId="39" fillId="0" borderId="0" applyFont="0" applyFill="0" applyBorder="0" applyAlignment="0" applyProtection="0">
      <alignment horizontal="right"/>
    </xf>
    <xf numFmtId="181" fontId="39" fillId="0" borderId="0" applyFont="0" applyFill="0" applyBorder="0" applyAlignment="0" applyProtection="0">
      <alignment horizontal="right"/>
    </xf>
    <xf numFmtId="182" fontId="39" fillId="0" borderId="0" applyFont="0" applyFill="0" applyBorder="0" applyAlignment="0" applyProtection="0">
      <alignment horizontal="right"/>
    </xf>
    <xf numFmtId="183" fontId="39" fillId="0" borderId="0" applyFont="0" applyFill="0" applyBorder="0" applyAlignment="0" applyProtection="0">
      <alignment horizontal="right"/>
    </xf>
    <xf numFmtId="184" fontId="39" fillId="0" borderId="0" applyFont="0" applyFill="0" applyBorder="0" applyAlignment="0" applyProtection="0"/>
    <xf numFmtId="185" fontId="39" fillId="0" borderId="15" applyNumberFormat="0" applyFont="0" applyFill="0" applyAlignment="0" applyProtection="0"/>
    <xf numFmtId="0" fontId="40" fillId="0" borderId="0" applyFill="0" applyBorder="0" applyProtection="0">
      <alignment horizontal="left"/>
    </xf>
    <xf numFmtId="186" fontId="39" fillId="0" borderId="0" applyFont="0" applyFill="0" applyBorder="0" applyAlignment="0" applyProtection="0">
      <alignment horizontal="right"/>
    </xf>
    <xf numFmtId="0" fontId="41" fillId="0" borderId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1" fontId="42" fillId="0" borderId="0" applyProtection="0">
      <alignment horizontal="right" vertical="center"/>
    </xf>
    <xf numFmtId="0" fontId="43" fillId="0" borderId="0" applyBorder="0" applyProtection="0">
      <alignment vertical="center"/>
    </xf>
    <xf numFmtId="185" fontId="43" fillId="0" borderId="1" applyBorder="0" applyProtection="0">
      <alignment horizontal="right" vertical="center"/>
    </xf>
    <xf numFmtId="0" fontId="44" fillId="8" borderId="0" applyBorder="0" applyProtection="0">
      <alignment horizontal="centerContinuous" vertical="center"/>
    </xf>
    <xf numFmtId="0" fontId="44" fillId="7" borderId="1" applyBorder="0" applyProtection="0">
      <alignment horizontal="centerContinuous" vertical="center"/>
    </xf>
    <xf numFmtId="0" fontId="45" fillId="0" borderId="0" applyFill="0" applyBorder="0" applyProtection="0">
      <alignment horizontal="left"/>
    </xf>
    <xf numFmtId="0" fontId="40" fillId="0" borderId="13" applyFill="0" applyBorder="0" applyProtection="0">
      <alignment horizontal="left" vertical="top"/>
    </xf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49" fillId="0" borderId="0" applyNumberFormat="0" applyBorder="0" applyAlignment="0"/>
    <xf numFmtId="0" fontId="50" fillId="0" borderId="0" applyNumberFormat="0" applyBorder="0" applyAlignment="0"/>
    <xf numFmtId="0" fontId="51" fillId="0" borderId="0" applyNumberFormat="0" applyBorder="0" applyAlignment="0"/>
    <xf numFmtId="0" fontId="49" fillId="9" borderId="0" applyNumberFormat="0" applyBorder="0" applyAlignment="0"/>
    <xf numFmtId="0" fontId="52" fillId="0" borderId="0" applyNumberFormat="0" applyBorder="0" applyAlignment="0"/>
    <xf numFmtId="0" fontId="17" fillId="0" borderId="0"/>
    <xf numFmtId="0" fontId="48" fillId="0" borderId="0"/>
    <xf numFmtId="166" fontId="69" fillId="0" borderId="0" applyNumberFormat="0" applyFill="0" applyBorder="0" applyAlignment="0" applyProtection="0"/>
  </cellStyleXfs>
  <cellXfs count="477">
    <xf numFmtId="166" fontId="0" fillId="0" borderId="0" xfId="0"/>
    <xf numFmtId="165" fontId="19" fillId="0" borderId="0" xfId="1" applyNumberFormat="1" applyFont="1"/>
    <xf numFmtId="166" fontId="19" fillId="0" borderId="0" xfId="0" applyFont="1"/>
    <xf numFmtId="166" fontId="19" fillId="0" borderId="0" xfId="0" applyFont="1" applyFill="1"/>
    <xf numFmtId="0" fontId="19" fillId="0" borderId="0" xfId="4" applyFont="1"/>
    <xf numFmtId="165" fontId="22" fillId="0" borderId="0" xfId="1" applyNumberFormat="1" applyFont="1"/>
    <xf numFmtId="165" fontId="23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left" indent="1"/>
    </xf>
    <xf numFmtId="165" fontId="22" fillId="0" borderId="0" xfId="1" applyNumberFormat="1" applyFont="1" applyAlignment="1">
      <alignment horizontal="left" indent="2"/>
    </xf>
    <xf numFmtId="165" fontId="22" fillId="0" borderId="0" xfId="1" applyNumberFormat="1" applyFont="1" applyAlignment="1">
      <alignment horizontal="left"/>
    </xf>
    <xf numFmtId="14" fontId="19" fillId="0" borderId="1" xfId="4" applyNumberFormat="1" applyFont="1" applyBorder="1" applyAlignment="1">
      <alignment horizontal="center"/>
    </xf>
    <xf numFmtId="0" fontId="19" fillId="0" borderId="1" xfId="4" applyFont="1" applyBorder="1" applyAlignment="1">
      <alignment horizontal="center"/>
    </xf>
    <xf numFmtId="14" fontId="19" fillId="0" borderId="0" xfId="4" applyNumberFormat="1" applyFont="1" applyBorder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centerContinuous"/>
    </xf>
    <xf numFmtId="0" fontId="19" fillId="2" borderId="0" xfId="4" applyFont="1" applyFill="1"/>
    <xf numFmtId="0" fontId="21" fillId="0" borderId="0" xfId="4" applyFont="1"/>
    <xf numFmtId="0" fontId="19" fillId="3" borderId="0" xfId="4" applyFont="1" applyFill="1"/>
    <xf numFmtId="165" fontId="24" fillId="0" borderId="2" xfId="1" applyNumberFormat="1" applyFont="1" applyFill="1" applyBorder="1"/>
    <xf numFmtId="165" fontId="22" fillId="0" borderId="0" xfId="1" applyNumberFormat="1" applyFont="1" applyFill="1"/>
    <xf numFmtId="165" fontId="22" fillId="0" borderId="1" xfId="1" applyNumberFormat="1" applyFont="1" applyFill="1" applyBorder="1"/>
    <xf numFmtId="165" fontId="19" fillId="0" borderId="0" xfId="1" applyNumberFormat="1" applyFont="1" applyFill="1"/>
    <xf numFmtId="165" fontId="22" fillId="0" borderId="3" xfId="1" applyNumberFormat="1" applyFont="1" applyFill="1" applyBorder="1"/>
    <xf numFmtId="165" fontId="25" fillId="0" borderId="0" xfId="1" applyNumberFormat="1" applyFont="1"/>
    <xf numFmtId="0" fontId="19" fillId="0" borderId="0" xfId="4" applyFont="1" applyBorder="1"/>
    <xf numFmtId="0" fontId="19" fillId="0" borderId="0" xfId="4" applyFont="1" applyFill="1" applyBorder="1"/>
    <xf numFmtId="164" fontId="26" fillId="0" borderId="0" xfId="4" applyNumberFormat="1" applyFont="1" applyFill="1"/>
    <xf numFmtId="0" fontId="26" fillId="0" borderId="0" xfId="4" applyFont="1" applyAlignment="1">
      <alignment horizontal="left" indent="1"/>
    </xf>
    <xf numFmtId="0" fontId="19" fillId="0" borderId="0" xfId="4" applyFont="1" applyFill="1"/>
    <xf numFmtId="167" fontId="19" fillId="0" borderId="0" xfId="4" applyNumberFormat="1" applyFont="1" applyBorder="1" applyAlignment="1">
      <alignment horizontal="center"/>
    </xf>
    <xf numFmtId="166" fontId="27" fillId="0" borderId="0" xfId="0" applyFont="1" applyFill="1"/>
    <xf numFmtId="165" fontId="27" fillId="0" borderId="0" xfId="1" applyNumberFormat="1" applyFont="1" applyBorder="1"/>
    <xf numFmtId="165" fontId="27" fillId="0" borderId="0" xfId="1" applyNumberFormat="1" applyFont="1" applyFill="1" applyBorder="1"/>
    <xf numFmtId="165" fontId="27" fillId="0" borderId="1" xfId="1" applyNumberFormat="1" applyFont="1" applyFill="1" applyBorder="1"/>
    <xf numFmtId="165" fontId="28" fillId="0" borderId="0" xfId="1" applyNumberFormat="1" applyFont="1" applyFill="1" applyBorder="1"/>
    <xf numFmtId="165" fontId="29" fillId="0" borderId="1" xfId="1" applyNumberFormat="1" applyFont="1" applyFill="1" applyBorder="1"/>
    <xf numFmtId="165" fontId="27" fillId="0" borderId="2" xfId="1" applyNumberFormat="1" applyFont="1" applyFill="1" applyBorder="1"/>
    <xf numFmtId="169" fontId="19" fillId="0" borderId="0" xfId="4" applyNumberFormat="1" applyFont="1"/>
    <xf numFmtId="165" fontId="22" fillId="0" borderId="1" xfId="1" applyNumberFormat="1" applyFont="1" applyBorder="1" applyAlignment="1">
      <alignment horizontal="left" indent="2"/>
    </xf>
    <xf numFmtId="165" fontId="22" fillId="0" borderId="1" xfId="1" applyNumberFormat="1" applyFont="1" applyBorder="1"/>
    <xf numFmtId="165" fontId="22" fillId="0" borderId="2" xfId="1" applyNumberFormat="1" applyFont="1" applyBorder="1"/>
    <xf numFmtId="165" fontId="22" fillId="0" borderId="1" xfId="1" applyNumberFormat="1" applyFont="1" applyBorder="1" applyAlignment="1">
      <alignment horizontal="left" indent="1"/>
    </xf>
    <xf numFmtId="165" fontId="22" fillId="0" borderId="1" xfId="1" quotePrefix="1" applyNumberFormat="1" applyFont="1" applyBorder="1" applyAlignment="1">
      <alignment horizontal="left" indent="2"/>
    </xf>
    <xf numFmtId="165" fontId="24" fillId="0" borderId="0" xfId="1" applyNumberFormat="1" applyFont="1" applyFill="1" applyBorder="1"/>
    <xf numFmtId="165" fontId="27" fillId="0" borderId="0" xfId="1" applyNumberFormat="1" applyFont="1" applyFill="1" applyBorder="1" applyAlignment="1">
      <alignment horizontal="left" indent="1"/>
    </xf>
    <xf numFmtId="165" fontId="27" fillId="0" borderId="0" xfId="1" quotePrefix="1" applyNumberFormat="1" applyFont="1" applyFill="1" applyBorder="1" applyAlignment="1">
      <alignment horizontal="left"/>
    </xf>
    <xf numFmtId="165" fontId="29" fillId="0" borderId="0" xfId="1" applyNumberFormat="1" applyFont="1" applyFill="1" applyBorder="1"/>
    <xf numFmtId="165" fontId="30" fillId="0" borderId="0" xfId="1" applyNumberFormat="1" applyFont="1" applyFill="1" applyBorder="1"/>
    <xf numFmtId="165" fontId="29" fillId="0" borderId="2" xfId="1" applyNumberFormat="1" applyFont="1" applyFill="1" applyBorder="1"/>
    <xf numFmtId="165" fontId="19" fillId="0" borderId="1" xfId="1" applyNumberFormat="1" applyFont="1" applyFill="1" applyBorder="1"/>
    <xf numFmtId="42" fontId="19" fillId="0" borderId="0" xfId="0" applyNumberFormat="1" applyFont="1"/>
    <xf numFmtId="165" fontId="19" fillId="0" borderId="0" xfId="1" applyNumberFormat="1" applyFont="1" applyFill="1" applyBorder="1"/>
    <xf numFmtId="165" fontId="22" fillId="0" borderId="0" xfId="1" applyNumberFormat="1" applyFont="1" applyFill="1" applyBorder="1"/>
    <xf numFmtId="0" fontId="19" fillId="0" borderId="0" xfId="0" applyNumberFormat="1" applyFont="1"/>
    <xf numFmtId="171" fontId="19" fillId="0" borderId="0" xfId="0" applyNumberFormat="1" applyFont="1"/>
    <xf numFmtId="42" fontId="19" fillId="0" borderId="1" xfId="0" applyNumberFormat="1" applyFont="1" applyBorder="1"/>
    <xf numFmtId="42" fontId="19" fillId="0" borderId="0" xfId="0" applyNumberFormat="1" applyFont="1" applyBorder="1"/>
    <xf numFmtId="0" fontId="19" fillId="0" borderId="1" xfId="0" applyNumberFormat="1" applyFont="1" applyBorder="1"/>
    <xf numFmtId="0" fontId="19" fillId="0" borderId="0" xfId="0" applyNumberFormat="1" applyFont="1" applyFill="1" applyBorder="1"/>
    <xf numFmtId="14" fontId="19" fillId="0" borderId="1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left" indent="1"/>
    </xf>
    <xf numFmtId="42" fontId="19" fillId="0" borderId="3" xfId="0" applyNumberFormat="1" applyFont="1" applyBorder="1"/>
    <xf numFmtId="0" fontId="19" fillId="3" borderId="0" xfId="0" applyNumberFormat="1" applyFont="1" applyFill="1"/>
    <xf numFmtId="0" fontId="19" fillId="3" borderId="0" xfId="0" applyNumberFormat="1" applyFont="1" applyFill="1" applyBorder="1"/>
    <xf numFmtId="42" fontId="19" fillId="3" borderId="0" xfId="0" applyNumberFormat="1" applyFont="1" applyFill="1"/>
    <xf numFmtId="42" fontId="22" fillId="0" borderId="3" xfId="0" applyNumberFormat="1" applyFont="1" applyFill="1" applyBorder="1"/>
    <xf numFmtId="42" fontId="22" fillId="0" borderId="0" xfId="0" applyNumberFormat="1" applyFont="1" applyFill="1" applyBorder="1"/>
    <xf numFmtId="0" fontId="21" fillId="0" borderId="0" xfId="0" applyNumberFormat="1" applyFont="1"/>
    <xf numFmtId="164" fontId="21" fillId="2" borderId="0" xfId="0" applyNumberFormat="1" applyFont="1" applyFill="1"/>
    <xf numFmtId="0" fontId="19" fillId="2" borderId="0" xfId="4" applyFont="1" applyFill="1" applyAlignment="1">
      <alignment horizontal="centerContinuous"/>
    </xf>
    <xf numFmtId="0" fontId="19" fillId="0" borderId="0" xfId="4" applyFont="1" applyBorder="1" applyAlignment="1">
      <alignment horizontal="center"/>
    </xf>
    <xf numFmtId="167" fontId="19" fillId="0" borderId="4" xfId="4" applyNumberFormat="1" applyFont="1" applyBorder="1" applyAlignment="1">
      <alignment horizontal="center"/>
    </xf>
    <xf numFmtId="164" fontId="26" fillId="0" borderId="0" xfId="4" applyNumberFormat="1" applyFont="1" applyFill="1" applyBorder="1"/>
    <xf numFmtId="0" fontId="19" fillId="0" borderId="0" xfId="0" applyNumberFormat="1" applyFont="1" applyFill="1"/>
    <xf numFmtId="0" fontId="19" fillId="2" borderId="0" xfId="0" applyNumberFormat="1" applyFont="1" applyFill="1"/>
    <xf numFmtId="42" fontId="19" fillId="2" borderId="0" xfId="0" applyNumberFormat="1" applyFont="1" applyFill="1"/>
    <xf numFmtId="169" fontId="19" fillId="3" borderId="0" xfId="4" applyNumberFormat="1" applyFont="1" applyFill="1"/>
    <xf numFmtId="164" fontId="26" fillId="0" borderId="0" xfId="4" applyNumberFormat="1" applyFont="1" applyFill="1" applyBorder="1" applyAlignment="1">
      <alignment horizontal="right"/>
    </xf>
    <xf numFmtId="0" fontId="31" fillId="0" borderId="0" xfId="4" applyFont="1" applyBorder="1"/>
    <xf numFmtId="167" fontId="19" fillId="0" borderId="9" xfId="4" applyNumberFormat="1" applyFont="1" applyBorder="1" applyAlignment="1">
      <alignment horizontal="center"/>
    </xf>
    <xf numFmtId="172" fontId="19" fillId="0" borderId="0" xfId="4" applyNumberFormat="1" applyFont="1" applyFill="1" applyBorder="1"/>
    <xf numFmtId="172" fontId="26" fillId="0" borderId="0" xfId="4" applyNumberFormat="1" applyFont="1" applyFill="1" applyBorder="1"/>
    <xf numFmtId="172" fontId="26" fillId="0" borderId="0" xfId="4" applyNumberFormat="1" applyFont="1" applyFill="1"/>
    <xf numFmtId="165" fontId="19" fillId="0" borderId="4" xfId="1" applyNumberFormat="1" applyFont="1" applyFill="1" applyBorder="1"/>
    <xf numFmtId="165" fontId="22" fillId="0" borderId="0" xfId="1" applyNumberFormat="1" applyFont="1" applyFill="1" applyBorder="1" applyAlignment="1">
      <alignment horizontal="left"/>
    </xf>
    <xf numFmtId="165" fontId="27" fillId="0" borderId="4" xfId="1" applyNumberFormat="1" applyFont="1" applyFill="1" applyBorder="1" applyAlignment="1">
      <alignment horizontal="left" indent="1"/>
    </xf>
    <xf numFmtId="165" fontId="27" fillId="0" borderId="4" xfId="1" applyNumberFormat="1" applyFont="1" applyFill="1" applyBorder="1"/>
    <xf numFmtId="165" fontId="24" fillId="5" borderId="0" xfId="1" applyNumberFormat="1" applyFont="1" applyFill="1" applyAlignment="1">
      <alignment horizontal="left"/>
    </xf>
    <xf numFmtId="165" fontId="24" fillId="5" borderId="0" xfId="1" applyNumberFormat="1" applyFont="1" applyFill="1" applyBorder="1"/>
    <xf numFmtId="165" fontId="22" fillId="5" borderId="0" xfId="1" applyNumberFormat="1" applyFont="1" applyFill="1" applyBorder="1" applyAlignment="1">
      <alignment horizontal="left"/>
    </xf>
    <xf numFmtId="165" fontId="22" fillId="5" borderId="4" xfId="1" applyNumberFormat="1" applyFont="1" applyFill="1" applyBorder="1" applyAlignment="1">
      <alignment horizontal="left"/>
    </xf>
    <xf numFmtId="165" fontId="24" fillId="5" borderId="4" xfId="1" applyNumberFormat="1" applyFont="1" applyFill="1" applyBorder="1"/>
    <xf numFmtId="165" fontId="32" fillId="0" borderId="0" xfId="1" applyNumberFormat="1" applyFont="1" applyFill="1" applyBorder="1" applyAlignment="1">
      <alignment horizontal="left"/>
    </xf>
    <xf numFmtId="165" fontId="28" fillId="0" borderId="4" xfId="1" applyNumberFormat="1" applyFont="1" applyFill="1" applyBorder="1"/>
    <xf numFmtId="0" fontId="21" fillId="0" borderId="0" xfId="0" applyNumberFormat="1" applyFont="1" applyFill="1"/>
    <xf numFmtId="164" fontId="21" fillId="0" borderId="0" xfId="0" applyNumberFormat="1" applyFont="1" applyFill="1"/>
    <xf numFmtId="164" fontId="21" fillId="2" borderId="0" xfId="0" applyNumberFormat="1" applyFont="1" applyFill="1" applyAlignment="1">
      <alignment horizontal="right"/>
    </xf>
    <xf numFmtId="0" fontId="21" fillId="0" borderId="0" xfId="4" applyFont="1" applyFill="1"/>
    <xf numFmtId="42" fontId="19" fillId="0" borderId="0" xfId="4" applyNumberFormat="1" applyFont="1" applyFill="1" applyBorder="1"/>
    <xf numFmtId="0" fontId="26" fillId="0" borderId="0" xfId="4" applyFont="1" applyFill="1"/>
    <xf numFmtId="0" fontId="26" fillId="0" borderId="0" xfId="4" applyFont="1" applyFill="1" applyAlignment="1">
      <alignment horizontal="left" indent="1"/>
    </xf>
    <xf numFmtId="164" fontId="26" fillId="0" borderId="0" xfId="4" applyNumberFormat="1" applyFont="1" applyFill="1" applyBorder="1" applyAlignment="1">
      <alignment wrapText="1"/>
    </xf>
    <xf numFmtId="0" fontId="21" fillId="0" borderId="0" xfId="4" applyFont="1" applyAlignment="1">
      <alignment horizontal="centerContinuous"/>
    </xf>
    <xf numFmtId="0" fontId="19" fillId="2" borderId="1" xfId="4" applyFont="1" applyFill="1" applyBorder="1"/>
    <xf numFmtId="43" fontId="32" fillId="0" borderId="0" xfId="1" applyNumberFormat="1" applyFont="1" applyFill="1" applyBorder="1"/>
    <xf numFmtId="0" fontId="19" fillId="0" borderId="9" xfId="4" applyFont="1" applyBorder="1" applyAlignment="1">
      <alignment horizontal="center"/>
    </xf>
    <xf numFmtId="44" fontId="19" fillId="2" borderId="0" xfId="4" applyNumberFormat="1" applyFont="1" applyFill="1" applyBorder="1" applyAlignment="1">
      <alignment horizontal="centerContinuous"/>
    </xf>
    <xf numFmtId="44" fontId="19" fillId="0" borderId="0" xfId="4" applyNumberFormat="1" applyFont="1" applyBorder="1" applyAlignment="1">
      <alignment horizontal="centerContinuous"/>
    </xf>
    <xf numFmtId="0" fontId="19" fillId="0" borderId="13" xfId="4" applyFont="1" applyBorder="1" applyAlignment="1">
      <alignment horizontal="center"/>
    </xf>
    <xf numFmtId="14" fontId="19" fillId="0" borderId="5" xfId="4" applyNumberFormat="1" applyFont="1" applyBorder="1" applyAlignment="1">
      <alignment horizontal="center"/>
    </xf>
    <xf numFmtId="14" fontId="19" fillId="0" borderId="14" xfId="4" applyNumberFormat="1" applyFont="1" applyBorder="1" applyAlignment="1">
      <alignment horizontal="center"/>
    </xf>
    <xf numFmtId="0" fontId="19" fillId="0" borderId="4" xfId="4" applyFont="1" applyBorder="1" applyAlignment="1">
      <alignment horizontal="center"/>
    </xf>
    <xf numFmtId="0" fontId="19" fillId="0" borderId="11" xfId="4" applyFont="1" applyBorder="1" applyAlignment="1">
      <alignment horizontal="center"/>
    </xf>
    <xf numFmtId="165" fontId="19" fillId="0" borderId="0" xfId="1" applyNumberFormat="1" applyFont="1" applyBorder="1"/>
    <xf numFmtId="0" fontId="21" fillId="0" borderId="0" xfId="4" applyFont="1" applyBorder="1"/>
    <xf numFmtId="165" fontId="22" fillId="0" borderId="0" xfId="1" applyNumberFormat="1" applyFont="1" applyFill="1" applyAlignment="1">
      <alignment horizontal="left" indent="2"/>
    </xf>
    <xf numFmtId="170" fontId="19" fillId="0" borderId="0" xfId="0" applyNumberFormat="1" applyFont="1" applyFill="1"/>
    <xf numFmtId="172" fontId="19" fillId="0" borderId="0" xfId="4" applyNumberFormat="1" applyFont="1"/>
    <xf numFmtId="41" fontId="19" fillId="0" borderId="0" xfId="4" applyNumberFormat="1" applyFont="1"/>
    <xf numFmtId="0" fontId="19" fillId="0" borderId="0" xfId="4" applyFont="1" applyAlignment="1">
      <alignment horizontal="right"/>
    </xf>
    <xf numFmtId="0" fontId="18" fillId="2" borderId="0" xfId="4" applyFont="1" applyFill="1"/>
    <xf numFmtId="0" fontId="19" fillId="0" borderId="3" xfId="0" applyNumberFormat="1" applyFont="1" applyBorder="1"/>
    <xf numFmtId="42" fontId="19" fillId="0" borderId="0" xfId="0" applyNumberFormat="1" applyFont="1" applyFill="1"/>
    <xf numFmtId="166" fontId="21" fillId="0" borderId="3" xfId="0" applyFont="1" applyBorder="1"/>
    <xf numFmtId="10" fontId="21" fillId="0" borderId="0" xfId="0" applyNumberFormat="1" applyFont="1"/>
    <xf numFmtId="10" fontId="21" fillId="0" borderId="3" xfId="0" applyNumberFormat="1" applyFont="1" applyBorder="1"/>
    <xf numFmtId="166" fontId="0" fillId="0" borderId="0" xfId="0" applyFill="1"/>
    <xf numFmtId="0" fontId="18" fillId="0" borderId="0" xfId="4" applyFont="1"/>
    <xf numFmtId="0" fontId="18" fillId="0" borderId="0" xfId="4" applyFont="1" applyFill="1"/>
    <xf numFmtId="14" fontId="21" fillId="0" borderId="0" xfId="4" applyNumberFormat="1" applyFont="1" applyFill="1" applyBorder="1" applyAlignment="1">
      <alignment horizontal="centerContinuous"/>
    </xf>
    <xf numFmtId="0" fontId="21" fillId="0" borderId="0" xfId="4" applyFont="1" applyFill="1" applyBorder="1" applyAlignment="1">
      <alignment horizontal="centerContinuous"/>
    </xf>
    <xf numFmtId="0" fontId="18" fillId="0" borderId="3" xfId="0" applyNumberFormat="1" applyFont="1" applyBorder="1"/>
    <xf numFmtId="0" fontId="21" fillId="0" borderId="3" xfId="0" applyNumberFormat="1" applyFont="1" applyBorder="1" applyAlignment="1">
      <alignment horizontal="center"/>
    </xf>
    <xf numFmtId="9" fontId="19" fillId="0" borderId="3" xfId="0" applyNumberFormat="1" applyFont="1" applyBorder="1"/>
    <xf numFmtId="177" fontId="19" fillId="0" borderId="4" xfId="4" applyNumberFormat="1" applyFont="1" applyBorder="1" applyAlignment="1">
      <alignment horizontal="center"/>
    </xf>
    <xf numFmtId="14" fontId="34" fillId="0" borderId="7" xfId="4" applyNumberFormat="1" applyFont="1" applyFill="1" applyBorder="1" applyAlignment="1">
      <alignment horizontal="center"/>
    </xf>
    <xf numFmtId="14" fontId="34" fillId="0" borderId="0" xfId="4" applyNumberFormat="1" applyFont="1" applyFill="1" applyBorder="1" applyAlignment="1">
      <alignment horizontal="center"/>
    </xf>
    <xf numFmtId="14" fontId="34" fillId="0" borderId="12" xfId="4" applyNumberFormat="1" applyFont="1" applyFill="1" applyBorder="1" applyAlignment="1">
      <alignment horizontal="center"/>
    </xf>
    <xf numFmtId="178" fontId="37" fillId="0" borderId="6" xfId="4" applyNumberFormat="1" applyFont="1" applyFill="1" applyBorder="1" applyAlignment="1">
      <alignment horizontal="center"/>
    </xf>
    <xf numFmtId="178" fontId="37" fillId="0" borderId="1" xfId="4" applyNumberFormat="1" applyFont="1" applyFill="1" applyBorder="1" applyAlignment="1">
      <alignment horizontal="center"/>
    </xf>
    <xf numFmtId="178" fontId="37" fillId="0" borderId="14" xfId="4" applyNumberFormat="1" applyFont="1" applyFill="1" applyBorder="1" applyAlignment="1">
      <alignment horizontal="center"/>
    </xf>
    <xf numFmtId="14" fontId="36" fillId="0" borderId="13" xfId="4" applyNumberFormat="1" applyFont="1" applyBorder="1" applyAlignment="1">
      <alignment horizontal="center"/>
    </xf>
    <xf numFmtId="14" fontId="36" fillId="0" borderId="0" xfId="4" applyNumberFormat="1" applyFont="1" applyBorder="1" applyAlignment="1">
      <alignment horizontal="center"/>
    </xf>
    <xf numFmtId="178" fontId="35" fillId="0" borderId="5" xfId="4" applyNumberFormat="1" applyFont="1" applyFill="1" applyBorder="1" applyAlignment="1">
      <alignment horizontal="center"/>
    </xf>
    <xf numFmtId="178" fontId="35" fillId="0" borderId="1" xfId="4" applyNumberFormat="1" applyFont="1" applyFill="1" applyBorder="1" applyAlignment="1">
      <alignment horizontal="center"/>
    </xf>
    <xf numFmtId="178" fontId="35" fillId="0" borderId="14" xfId="4" applyNumberFormat="1" applyFont="1" applyFill="1" applyBorder="1" applyAlignment="1">
      <alignment horizontal="center"/>
    </xf>
    <xf numFmtId="178" fontId="35" fillId="0" borderId="6" xfId="4" applyNumberFormat="1" applyFont="1" applyFill="1" applyBorder="1" applyAlignment="1">
      <alignment horizontal="center"/>
    </xf>
    <xf numFmtId="171" fontId="19" fillId="0" borderId="0" xfId="0" applyNumberFormat="1" applyFont="1" applyFill="1" applyBorder="1"/>
    <xf numFmtId="42" fontId="19" fillId="6" borderId="0" xfId="0" applyNumberFormat="1" applyFont="1" applyFill="1" applyBorder="1"/>
    <xf numFmtId="177" fontId="19" fillId="0" borderId="9" xfId="4" applyNumberFormat="1" applyFont="1" applyBorder="1" applyAlignment="1">
      <alignment horizontal="center"/>
    </xf>
    <xf numFmtId="0" fontId="18" fillId="3" borderId="0" xfId="4" applyFont="1" applyFill="1"/>
    <xf numFmtId="41" fontId="19" fillId="0" borderId="0" xfId="4" applyNumberFormat="1" applyFont="1" applyFill="1" applyBorder="1"/>
    <xf numFmtId="9" fontId="18" fillId="0" borderId="3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/>
    <xf numFmtId="0" fontId="19" fillId="0" borderId="12" xfId="0" applyNumberFormat="1" applyFont="1" applyFill="1" applyBorder="1"/>
    <xf numFmtId="0" fontId="21" fillId="0" borderId="0" xfId="0" applyNumberFormat="1" applyFont="1" applyFill="1" applyAlignment="1">
      <alignment horizontal="centerContinuous"/>
    </xf>
    <xf numFmtId="42" fontId="21" fillId="0" borderId="0" xfId="0" applyNumberFormat="1" applyFont="1" applyFill="1" applyAlignment="1">
      <alignment horizontal="centerContinuous"/>
    </xf>
    <xf numFmtId="179" fontId="18" fillId="0" borderId="1" xfId="0" applyNumberFormat="1" applyFont="1" applyFill="1" applyBorder="1" applyAlignment="1">
      <alignment horizontal="center"/>
    </xf>
    <xf numFmtId="170" fontId="21" fillId="0" borderId="0" xfId="0" applyNumberFormat="1" applyFont="1" applyFill="1" applyAlignment="1">
      <alignment horizontal="right" vertical="center" textRotation="90"/>
    </xf>
    <xf numFmtId="0" fontId="18" fillId="0" borderId="0" xfId="4" applyFont="1" applyAlignment="1">
      <alignment horizontal="center"/>
    </xf>
    <xf numFmtId="170" fontId="19" fillId="0" borderId="0" xfId="0" applyNumberFormat="1" applyFont="1" applyFill="1" applyAlignment="1">
      <alignment horizontal="right" vertical="center" textRotation="90"/>
    </xf>
    <xf numFmtId="0" fontId="18" fillId="0" borderId="0" xfId="0" applyNumberFormat="1" applyFont="1" applyFill="1" applyBorder="1"/>
    <xf numFmtId="170" fontId="21" fillId="0" borderId="0" xfId="0" applyNumberFormat="1" applyFont="1" applyFill="1" applyBorder="1" applyAlignment="1">
      <alignment horizontal="right" vertical="center" textRotation="90"/>
    </xf>
    <xf numFmtId="0" fontId="18" fillId="0" borderId="1" xfId="4" applyFont="1" applyBorder="1"/>
    <xf numFmtId="44" fontId="18" fillId="0" borderId="1" xfId="4" applyNumberFormat="1" applyFont="1" applyBorder="1" applyAlignment="1">
      <alignment horizontal="centerContinuous"/>
    </xf>
    <xf numFmtId="167" fontId="18" fillId="0" borderId="8" xfId="4" applyNumberFormat="1" applyFont="1" applyBorder="1" applyAlignment="1">
      <alignment horizontal="center"/>
    </xf>
    <xf numFmtId="177" fontId="18" fillId="0" borderId="4" xfId="4" applyNumberFormat="1" applyFont="1" applyBorder="1" applyAlignment="1">
      <alignment horizontal="center"/>
    </xf>
    <xf numFmtId="177" fontId="18" fillId="0" borderId="11" xfId="4" applyNumberFormat="1" applyFont="1" applyBorder="1" applyAlignment="1">
      <alignment horizontal="center"/>
    </xf>
    <xf numFmtId="0" fontId="18" fillId="0" borderId="7" xfId="4" applyNumberFormat="1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18" fillId="0" borderId="12" xfId="4" applyFont="1" applyBorder="1" applyAlignment="1">
      <alignment horizontal="center"/>
    </xf>
    <xf numFmtId="41" fontId="18" fillId="0" borderId="0" xfId="4" applyNumberFormat="1" applyFont="1"/>
    <xf numFmtId="173" fontId="18" fillId="0" borderId="0" xfId="4" applyNumberFormat="1" applyFont="1" applyBorder="1" applyAlignment="1">
      <alignment horizontal="left" indent="1"/>
    </xf>
    <xf numFmtId="0" fontId="18" fillId="0" borderId="0" xfId="4" applyFont="1" applyFill="1" applyBorder="1" applyAlignment="1">
      <alignment horizontal="center"/>
    </xf>
    <xf numFmtId="0" fontId="18" fillId="0" borderId="0" xfId="4" applyFont="1" applyBorder="1"/>
    <xf numFmtId="41" fontId="18" fillId="0" borderId="0" xfId="4" applyNumberFormat="1" applyFont="1" applyBorder="1"/>
    <xf numFmtId="41" fontId="18" fillId="0" borderId="1" xfId="4" applyNumberFormat="1" applyFont="1" applyBorder="1"/>
    <xf numFmtId="41" fontId="18" fillId="0" borderId="0" xfId="4" applyNumberFormat="1" applyFont="1" applyBorder="1" applyAlignment="1">
      <alignment horizontal="right"/>
    </xf>
    <xf numFmtId="41" fontId="18" fillId="0" borderId="3" xfId="4" applyNumberFormat="1" applyFont="1" applyBorder="1"/>
    <xf numFmtId="41" fontId="18" fillId="0" borderId="0" xfId="4" applyNumberFormat="1" applyFont="1" applyFill="1"/>
    <xf numFmtId="0" fontId="21" fillId="0" borderId="4" xfId="4" applyFont="1" applyBorder="1"/>
    <xf numFmtId="165" fontId="24" fillId="5" borderId="0" xfId="1" applyNumberFormat="1" applyFont="1" applyFill="1" applyBorder="1" applyAlignment="1">
      <alignment horizontal="right"/>
    </xf>
    <xf numFmtId="0" fontId="18" fillId="0" borderId="16" xfId="4" applyFont="1" applyBorder="1"/>
    <xf numFmtId="41" fontId="18" fillId="0" borderId="16" xfId="4" applyNumberFormat="1" applyFont="1" applyBorder="1"/>
    <xf numFmtId="165" fontId="22" fillId="0" borderId="4" xfId="1" applyNumberFormat="1" applyFont="1" applyFill="1" applyBorder="1"/>
    <xf numFmtId="0" fontId="18" fillId="0" borderId="0" xfId="4" applyFont="1" applyFill="1" applyAlignment="1">
      <alignment horizontal="center"/>
    </xf>
    <xf numFmtId="0" fontId="18" fillId="0" borderId="0" xfId="0" applyNumberFormat="1" applyFont="1" applyAlignment="1">
      <alignment horizontal="left" indent="1"/>
    </xf>
    <xf numFmtId="176" fontId="47" fillId="0" borderId="0" xfId="4" applyNumberFormat="1" applyFont="1" applyAlignment="1">
      <alignment horizontal="left" indent="1"/>
    </xf>
    <xf numFmtId="164" fontId="31" fillId="6" borderId="0" xfId="0" applyNumberFormat="1" applyFont="1" applyFill="1"/>
    <xf numFmtId="164" fontId="31" fillId="0" borderId="0" xfId="0" applyNumberFormat="1" applyFont="1" applyFill="1"/>
    <xf numFmtId="44" fontId="19" fillId="0" borderId="0" xfId="0" applyNumberFormat="1" applyFont="1"/>
    <xf numFmtId="42" fontId="53" fillId="0" borderId="0" xfId="4" applyNumberFormat="1" applyFont="1" applyFill="1"/>
    <xf numFmtId="165" fontId="53" fillId="0" borderId="0" xfId="1" applyNumberFormat="1" applyFont="1" applyFill="1"/>
    <xf numFmtId="175" fontId="53" fillId="0" borderId="0" xfId="1" applyNumberFormat="1" applyFont="1" applyFill="1" applyAlignment="1">
      <alignment horizontal="left" indent="2"/>
    </xf>
    <xf numFmtId="0" fontId="53" fillId="0" borderId="0" xfId="4" applyFont="1" applyFill="1" applyBorder="1"/>
    <xf numFmtId="0" fontId="21" fillId="0" borderId="0" xfId="0" applyNumberFormat="1" applyFont="1" applyBorder="1"/>
    <xf numFmtId="0" fontId="21" fillId="0" borderId="0" xfId="0" applyNumberFormat="1" applyFont="1" applyAlignment="1">
      <alignment horizontal="right"/>
    </xf>
    <xf numFmtId="9" fontId="21" fillId="0" borderId="0" xfId="0" applyNumberFormat="1" applyFont="1" applyFill="1"/>
    <xf numFmtId="0" fontId="21" fillId="0" borderId="0" xfId="4" applyFont="1" applyFill="1" applyAlignment="1">
      <alignment horizontal="center"/>
    </xf>
    <xf numFmtId="8" fontId="19" fillId="0" borderId="0" xfId="0" applyNumberFormat="1" applyFont="1"/>
    <xf numFmtId="165" fontId="53" fillId="0" borderId="0" xfId="1" applyNumberFormat="1" applyFont="1" applyAlignment="1">
      <alignment horizontal="left" indent="2"/>
    </xf>
    <xf numFmtId="165" fontId="55" fillId="0" borderId="0" xfId="1" applyNumberFormat="1" applyFont="1" applyFill="1"/>
    <xf numFmtId="0" fontId="19" fillId="0" borderId="4" xfId="4" applyFont="1" applyBorder="1"/>
    <xf numFmtId="0" fontId="19" fillId="2" borderId="0" xfId="4" applyFont="1" applyFill="1" applyAlignment="1">
      <alignment horizontal="center"/>
    </xf>
    <xf numFmtId="165" fontId="22" fillId="0" borderId="0" xfId="1" applyNumberFormat="1" applyFont="1" applyBorder="1" applyAlignment="1">
      <alignment horizontal="left" indent="1"/>
    </xf>
    <xf numFmtId="0" fontId="21" fillId="0" borderId="0" xfId="4" applyFont="1" applyFill="1" applyBorder="1"/>
    <xf numFmtId="0" fontId="19" fillId="2" borderId="0" xfId="4" applyFont="1" applyFill="1" applyBorder="1"/>
    <xf numFmtId="0" fontId="26" fillId="0" borderId="0" xfId="4" applyFont="1" applyFill="1" applyBorder="1" applyAlignment="1">
      <alignment horizontal="left" indent="1"/>
    </xf>
    <xf numFmtId="166" fontId="27" fillId="0" borderId="0" xfId="0" applyFont="1" applyFill="1" applyBorder="1"/>
    <xf numFmtId="14" fontId="56" fillId="4" borderId="7" xfId="4" applyNumberFormat="1" applyFont="1" applyFill="1" applyBorder="1" applyAlignment="1">
      <alignment horizontal="center"/>
    </xf>
    <xf numFmtId="172" fontId="57" fillId="4" borderId="0" xfId="4" applyNumberFormat="1" applyFont="1" applyFill="1" applyBorder="1"/>
    <xf numFmtId="165" fontId="57" fillId="4" borderId="0" xfId="1" applyNumberFormat="1" applyFont="1" applyFill="1"/>
    <xf numFmtId="175" fontId="57" fillId="4" borderId="0" xfId="1" applyNumberFormat="1" applyFont="1" applyFill="1" applyAlignment="1">
      <alignment horizontal="left" indent="2"/>
    </xf>
    <xf numFmtId="165" fontId="24" fillId="5" borderId="4" xfId="1" applyNumberFormat="1" applyFont="1" applyFill="1" applyBorder="1" applyAlignment="1">
      <alignment horizontal="center"/>
    </xf>
    <xf numFmtId="165" fontId="24" fillId="5" borderId="0" xfId="1" applyNumberFormat="1" applyFont="1" applyFill="1" applyBorder="1" applyAlignment="1">
      <alignment horizontal="center"/>
    </xf>
    <xf numFmtId="0" fontId="59" fillId="4" borderId="0" xfId="4" applyFont="1" applyFill="1" applyAlignment="1">
      <alignment horizontal="left"/>
    </xf>
    <xf numFmtId="43" fontId="19" fillId="0" borderId="0" xfId="4" applyNumberFormat="1" applyFont="1" applyBorder="1"/>
    <xf numFmtId="166" fontId="19" fillId="0" borderId="0" xfId="0" applyFont="1" applyFill="1" applyBorder="1"/>
    <xf numFmtId="0" fontId="19" fillId="0" borderId="0" xfId="4" applyFont="1" applyFill="1" applyBorder="1" applyAlignment="1">
      <alignment horizontal="centerContinuous"/>
    </xf>
    <xf numFmtId="170" fontId="19" fillId="0" borderId="0" xfId="4" applyNumberFormat="1" applyFont="1" applyFill="1" applyBorder="1"/>
    <xf numFmtId="164" fontId="19" fillId="0" borderId="0" xfId="4" applyNumberFormat="1" applyFont="1"/>
    <xf numFmtId="42" fontId="19" fillId="0" borderId="4" xfId="0" applyNumberFormat="1" applyFont="1" applyBorder="1"/>
    <xf numFmtId="4" fontId="19" fillId="0" borderId="0" xfId="0" applyNumberFormat="1" applyFont="1"/>
    <xf numFmtId="0" fontId="60" fillId="4" borderId="0" xfId="4" applyFont="1" applyFill="1" applyAlignment="1"/>
    <xf numFmtId="37" fontId="60" fillId="4" borderId="0" xfId="4" applyNumberFormat="1" applyFont="1" applyFill="1" applyAlignment="1">
      <alignment horizontal="right"/>
    </xf>
    <xf numFmtId="0" fontId="18" fillId="0" borderId="0" xfId="0" applyNumberFormat="1" applyFont="1"/>
    <xf numFmtId="41" fontId="19" fillId="0" borderId="0" xfId="0" applyNumberFormat="1" applyFont="1"/>
    <xf numFmtId="189" fontId="19" fillId="0" borderId="0" xfId="0" applyNumberFormat="1" applyFont="1" applyAlignment="1">
      <alignment horizontal="left"/>
    </xf>
    <xf numFmtId="14" fontId="38" fillId="0" borderId="8" xfId="4" applyNumberFormat="1" applyFont="1" applyFill="1" applyBorder="1" applyAlignment="1">
      <alignment horizontal="center"/>
    </xf>
    <xf numFmtId="14" fontId="38" fillId="0" borderId="4" xfId="4" applyNumberFormat="1" applyFont="1" applyFill="1" applyBorder="1" applyAlignment="1">
      <alignment horizontal="center"/>
    </xf>
    <xf numFmtId="164" fontId="61" fillId="0" borderId="0" xfId="0" applyNumberFormat="1" applyFont="1"/>
    <xf numFmtId="0" fontId="61" fillId="0" borderId="0" xfId="0" applyNumberFormat="1" applyFont="1" applyAlignment="1">
      <alignment horizontal="left" indent="1"/>
    </xf>
    <xf numFmtId="0" fontId="18" fillId="0" borderId="4" xfId="0" applyNumberFormat="1" applyFont="1" applyBorder="1"/>
    <xf numFmtId="0" fontId="19" fillId="0" borderId="4" xfId="0" applyNumberFormat="1" applyFont="1" applyBorder="1"/>
    <xf numFmtId="41" fontId="19" fillId="0" borderId="4" xfId="0" applyNumberFormat="1" applyFont="1" applyBorder="1"/>
    <xf numFmtId="41" fontId="19" fillId="2" borderId="0" xfId="0" applyNumberFormat="1" applyFont="1" applyFill="1"/>
    <xf numFmtId="0" fontId="18" fillId="2" borderId="0" xfId="0" applyNumberFormat="1" applyFont="1" applyFill="1"/>
    <xf numFmtId="189" fontId="21" fillId="2" borderId="0" xfId="0" applyNumberFormat="1" applyFont="1" applyFill="1" applyAlignment="1">
      <alignment horizontal="left"/>
    </xf>
    <xf numFmtId="172" fontId="57" fillId="0" borderId="0" xfId="4" applyNumberFormat="1" applyFont="1" applyFill="1" applyBorder="1"/>
    <xf numFmtId="4" fontId="18" fillId="2" borderId="0" xfId="4" applyNumberFormat="1" applyFont="1" applyFill="1"/>
    <xf numFmtId="0" fontId="24" fillId="0" borderId="0" xfId="4" applyFont="1"/>
    <xf numFmtId="0" fontId="22" fillId="0" borderId="0" xfId="4" applyFont="1"/>
    <xf numFmtId="0" fontId="22" fillId="0" borderId="0" xfId="4" applyFont="1" applyFill="1" applyAlignment="1">
      <alignment horizontal="left" indent="1"/>
    </xf>
    <xf numFmtId="42" fontId="22" fillId="0" borderId="0" xfId="4" applyNumberFormat="1" applyFont="1" applyFill="1"/>
    <xf numFmtId="42" fontId="22" fillId="0" borderId="0" xfId="4" applyNumberFormat="1" applyFont="1" applyFill="1" applyBorder="1"/>
    <xf numFmtId="42" fontId="22" fillId="0" borderId="0" xfId="4" applyNumberFormat="1" applyFont="1"/>
    <xf numFmtId="0" fontId="22" fillId="0" borderId="0" xfId="4" applyFont="1" applyAlignment="1">
      <alignment horizontal="left" indent="1"/>
    </xf>
    <xf numFmtId="0" fontId="18" fillId="0" borderId="0" xfId="4" applyFont="1" applyFill="1" applyBorder="1"/>
    <xf numFmtId="0" fontId="17" fillId="0" borderId="8" xfId="4" applyFont="1" applyBorder="1" applyAlignment="1">
      <alignment horizontal="center"/>
    </xf>
    <xf numFmtId="0" fontId="46" fillId="0" borderId="0" xfId="4" applyFont="1" applyFill="1" applyAlignment="1">
      <alignment horizontal="center"/>
    </xf>
    <xf numFmtId="0" fontId="24" fillId="0" borderId="0" xfId="4" applyFont="1" applyFill="1" applyAlignment="1">
      <alignment horizontal="left"/>
    </xf>
    <xf numFmtId="0" fontId="16" fillId="0" borderId="0" xfId="4" applyFont="1"/>
    <xf numFmtId="177" fontId="22" fillId="0" borderId="4" xfId="4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172" fontId="63" fillId="0" borderId="0" xfId="4" applyNumberFormat="1" applyFont="1" applyFill="1" applyBorder="1"/>
    <xf numFmtId="164" fontId="54" fillId="0" borderId="0" xfId="4" applyNumberFormat="1" applyFont="1" applyFill="1" applyBorder="1" applyAlignment="1">
      <alignment horizontal="center" wrapText="1"/>
    </xf>
    <xf numFmtId="41" fontId="64" fillId="0" borderId="0" xfId="4" applyNumberFormat="1" applyFont="1" applyFill="1" applyBorder="1"/>
    <xf numFmtId="0" fontId="21" fillId="0" borderId="4" xfId="4" applyFont="1" applyFill="1" applyBorder="1"/>
    <xf numFmtId="172" fontId="21" fillId="0" borderId="0" xfId="4" applyNumberFormat="1" applyFont="1" applyFill="1" applyBorder="1"/>
    <xf numFmtId="164" fontId="58" fillId="4" borderId="10" xfId="4" applyNumberFormat="1" applyFont="1" applyFill="1" applyBorder="1" applyAlignment="1">
      <alignment horizontal="center" wrapText="1"/>
    </xf>
    <xf numFmtId="164" fontId="65" fillId="4" borderId="0" xfId="4" applyNumberFormat="1" applyFont="1" applyFill="1" applyBorder="1"/>
    <xf numFmtId="0" fontId="21" fillId="0" borderId="16" xfId="4" applyFont="1" applyBorder="1"/>
    <xf numFmtId="41" fontId="21" fillId="0" borderId="16" xfId="4" applyNumberFormat="1" applyFont="1" applyBorder="1"/>
    <xf numFmtId="41" fontId="21" fillId="0" borderId="16" xfId="4" applyNumberFormat="1" applyFont="1" applyFill="1" applyBorder="1"/>
    <xf numFmtId="0" fontId="17" fillId="0" borderId="0" xfId="4" applyFont="1" applyAlignment="1">
      <alignment horizontal="left" indent="1"/>
    </xf>
    <xf numFmtId="0" fontId="18" fillId="0" borderId="17" xfId="4" applyFont="1" applyFill="1" applyBorder="1"/>
    <xf numFmtId="188" fontId="19" fillId="0" borderId="17" xfId="4" applyNumberFormat="1" applyFont="1" applyFill="1" applyBorder="1"/>
    <xf numFmtId="0" fontId="19" fillId="0" borderId="0" xfId="4" applyFont="1" applyBorder="1" applyAlignment="1">
      <alignment horizontal="left" indent="1"/>
    </xf>
    <xf numFmtId="0" fontId="18" fillId="0" borderId="0" xfId="4" applyFont="1" applyBorder="1" applyAlignment="1">
      <alignment horizontal="left" indent="1"/>
    </xf>
    <xf numFmtId="0" fontId="19" fillId="0" borderId="17" xfId="4" applyFont="1" applyBorder="1" applyAlignment="1">
      <alignment horizontal="left" indent="1"/>
    </xf>
    <xf numFmtId="187" fontId="19" fillId="0" borderId="0" xfId="4" applyNumberFormat="1" applyFont="1" applyFill="1" applyBorder="1"/>
    <xf numFmtId="42" fontId="21" fillId="0" borderId="16" xfId="4" applyNumberFormat="1" applyFont="1" applyBorder="1"/>
    <xf numFmtId="172" fontId="21" fillId="0" borderId="0" xfId="4" applyNumberFormat="1" applyFont="1" applyFill="1"/>
    <xf numFmtId="168" fontId="21" fillId="0" borderId="0" xfId="4" applyNumberFormat="1" applyFont="1" applyFill="1" applyBorder="1" applyAlignment="1">
      <alignment wrapText="1"/>
    </xf>
    <xf numFmtId="37" fontId="60" fillId="0" borderId="0" xfId="4" applyNumberFormat="1" applyFont="1" applyFill="1" applyBorder="1" applyAlignment="1">
      <alignment horizontal="center" wrapText="1"/>
    </xf>
    <xf numFmtId="164" fontId="19" fillId="0" borderId="0" xfId="0" applyNumberFormat="1" applyFont="1" applyFill="1"/>
    <xf numFmtId="166" fontId="62" fillId="2" borderId="0" xfId="0" applyFont="1" applyFill="1" applyBorder="1"/>
    <xf numFmtId="166" fontId="0" fillId="2" borderId="0" xfId="0" applyFill="1"/>
    <xf numFmtId="1" fontId="62" fillId="2" borderId="0" xfId="0" applyNumberFormat="1" applyFont="1" applyFill="1" applyAlignment="1">
      <alignment horizontal="center"/>
    </xf>
    <xf numFmtId="166" fontId="0" fillId="0" borderId="1" xfId="0" applyBorder="1"/>
    <xf numFmtId="42" fontId="60" fillId="4" borderId="4" xfId="4" applyNumberFormat="1" applyFont="1" applyFill="1" applyBorder="1"/>
    <xf numFmtId="42" fontId="57" fillId="0" borderId="0" xfId="4" applyNumberFormat="1" applyFont="1" applyFill="1"/>
    <xf numFmtId="190" fontId="21" fillId="2" borderId="0" xfId="4" applyNumberFormat="1" applyFont="1" applyFill="1" applyAlignment="1">
      <alignment horizontal="left"/>
    </xf>
    <xf numFmtId="42" fontId="57" fillId="4" borderId="0" xfId="4" applyNumberFormat="1" applyFont="1" applyFill="1" applyBorder="1"/>
    <xf numFmtId="42" fontId="57" fillId="4" borderId="17" xfId="4" applyNumberFormat="1" applyFont="1" applyFill="1" applyBorder="1"/>
    <xf numFmtId="0" fontId="57" fillId="4" borderId="0" xfId="4" applyFont="1" applyFill="1" applyAlignment="1">
      <alignment horizontal="left" indent="1"/>
    </xf>
    <xf numFmtId="170" fontId="57" fillId="4" borderId="0" xfId="4" applyNumberFormat="1" applyFont="1" applyFill="1"/>
    <xf numFmtId="10" fontId="60" fillId="4" borderId="0" xfId="0" applyNumberFormat="1" applyFont="1" applyFill="1"/>
    <xf numFmtId="9" fontId="66" fillId="4" borderId="10" xfId="4" applyNumberFormat="1" applyFont="1" applyFill="1" applyBorder="1" applyAlignment="1">
      <alignment horizontal="center"/>
    </xf>
    <xf numFmtId="174" fontId="66" fillId="4" borderId="10" xfId="4" applyNumberFormat="1" applyFont="1" applyFill="1" applyBorder="1" applyAlignment="1">
      <alignment horizontal="center"/>
    </xf>
    <xf numFmtId="178" fontId="18" fillId="0" borderId="0" xfId="4" applyNumberFormat="1" applyFont="1"/>
    <xf numFmtId="14" fontId="56" fillId="4" borderId="0" xfId="4" applyNumberFormat="1" applyFont="1" applyFill="1" applyBorder="1" applyAlignment="1">
      <alignment horizontal="center"/>
    </xf>
    <xf numFmtId="0" fontId="22" fillId="0" borderId="7" xfId="4" applyFont="1" applyFill="1" applyBorder="1" applyAlignment="1">
      <alignment horizontal="center"/>
    </xf>
    <xf numFmtId="14" fontId="56" fillId="4" borderId="13" xfId="4" applyNumberFormat="1" applyFont="1" applyFill="1" applyBorder="1" applyAlignment="1">
      <alignment horizontal="center"/>
    </xf>
    <xf numFmtId="177" fontId="19" fillId="0" borderId="11" xfId="4" applyNumberFormat="1" applyFont="1" applyBorder="1" applyAlignment="1">
      <alignment horizontal="center"/>
    </xf>
    <xf numFmtId="0" fontId="22" fillId="0" borderId="13" xfId="4" applyFont="1" applyFill="1" applyBorder="1" applyAlignment="1">
      <alignment horizontal="center"/>
    </xf>
    <xf numFmtId="0" fontId="22" fillId="0" borderId="12" xfId="4" applyFont="1" applyFill="1" applyBorder="1" applyAlignment="1">
      <alignment horizontal="center"/>
    </xf>
    <xf numFmtId="14" fontId="36" fillId="0" borderId="12" xfId="4" applyNumberFormat="1" applyFont="1" applyBorder="1" applyAlignment="1">
      <alignment horizontal="center"/>
    </xf>
    <xf numFmtId="9" fontId="22" fillId="0" borderId="0" xfId="4" applyNumberFormat="1" applyFont="1" applyFill="1" applyBorder="1" applyAlignment="1">
      <alignment horizontal="center"/>
    </xf>
    <xf numFmtId="164" fontId="19" fillId="2" borderId="0" xfId="0" applyNumberFormat="1" applyFont="1" applyFill="1" applyAlignment="1">
      <alignment horizontal="right"/>
    </xf>
    <xf numFmtId="170" fontId="19" fillId="2" borderId="0" xfId="0" applyNumberFormat="1" applyFont="1" applyFill="1" applyAlignment="1">
      <alignment horizontal="right"/>
    </xf>
    <xf numFmtId="9" fontId="66" fillId="4" borderId="0" xfId="4" applyNumberFormat="1" applyFont="1" applyFill="1" applyBorder="1" applyAlignment="1">
      <alignment horizontal="center"/>
    </xf>
    <xf numFmtId="9" fontId="66" fillId="0" borderId="0" xfId="4" applyNumberFormat="1" applyFont="1" applyFill="1" applyBorder="1" applyAlignment="1">
      <alignment horizontal="center"/>
    </xf>
    <xf numFmtId="4" fontId="0" fillId="0" borderId="0" xfId="0" applyNumberFormat="1"/>
    <xf numFmtId="166" fontId="0" fillId="0" borderId="0" xfId="0" applyBorder="1"/>
    <xf numFmtId="178" fontId="35" fillId="0" borderId="0" xfId="4" applyNumberFormat="1" applyFont="1" applyFill="1" applyBorder="1" applyAlignment="1">
      <alignment horizontal="center"/>
    </xf>
    <xf numFmtId="166" fontId="0" fillId="0" borderId="0" xfId="0" applyFill="1" applyBorder="1"/>
    <xf numFmtId="4" fontId="0" fillId="0" borderId="0" xfId="0" applyNumberFormat="1" applyFill="1" applyBorder="1"/>
    <xf numFmtId="41" fontId="66" fillId="4" borderId="0" xfId="4" applyNumberFormat="1" applyFont="1" applyFill="1"/>
    <xf numFmtId="42" fontId="14" fillId="0" borderId="0" xfId="0" applyNumberFormat="1" applyFont="1" applyFill="1" applyBorder="1"/>
    <xf numFmtId="166" fontId="14" fillId="0" borderId="0" xfId="0" applyFont="1"/>
    <xf numFmtId="166" fontId="21" fillId="0" borderId="0" xfId="0" applyFont="1" applyFill="1" applyBorder="1"/>
    <xf numFmtId="166" fontId="14" fillId="0" borderId="0" xfId="0" applyFont="1" applyFill="1" applyBorder="1"/>
    <xf numFmtId="170" fontId="14" fillId="0" borderId="0" xfId="0" applyNumberFormat="1" applyFont="1" applyFill="1" applyBorder="1"/>
    <xf numFmtId="166" fontId="14" fillId="0" borderId="0" xfId="0" applyFont="1" applyFill="1" applyBorder="1" applyAlignment="1">
      <alignment horizontal="left"/>
    </xf>
    <xf numFmtId="165" fontId="22" fillId="0" borderId="4" xfId="1" applyNumberFormat="1" applyFont="1" applyBorder="1" applyAlignment="1">
      <alignment horizontal="left"/>
    </xf>
    <xf numFmtId="4" fontId="0" fillId="0" borderId="0" xfId="0" applyNumberFormat="1" applyFill="1"/>
    <xf numFmtId="165" fontId="57" fillId="10" borderId="0" xfId="1" applyNumberFormat="1" applyFont="1" applyFill="1"/>
    <xf numFmtId="165" fontId="22" fillId="0" borderId="0" xfId="1" applyNumberFormat="1" applyFont="1" applyFill="1" applyAlignment="1">
      <alignment horizontal="left" indent="1"/>
    </xf>
    <xf numFmtId="164" fontId="66" fillId="4" borderId="0" xfId="4" applyNumberFormat="1" applyFont="1" applyFill="1"/>
    <xf numFmtId="14" fontId="19" fillId="0" borderId="0" xfId="4" applyNumberFormat="1" applyFont="1"/>
    <xf numFmtId="43" fontId="19" fillId="0" borderId="0" xfId="1" applyNumberFormat="1" applyFont="1" applyFill="1"/>
    <xf numFmtId="0" fontId="12" fillId="0" borderId="0" xfId="4" applyFont="1"/>
    <xf numFmtId="174" fontId="66" fillId="0" borderId="0" xfId="4" applyNumberFormat="1" applyFont="1" applyFill="1" applyBorder="1" applyAlignment="1">
      <alignment horizontal="center"/>
    </xf>
    <xf numFmtId="166" fontId="21" fillId="0" borderId="0" xfId="0" applyFont="1" applyFill="1" applyBorder="1" applyAlignment="1">
      <alignment horizontal="right"/>
    </xf>
    <xf numFmtId="166" fontId="21" fillId="5" borderId="0" xfId="0" applyFont="1" applyFill="1" applyBorder="1"/>
    <xf numFmtId="166" fontId="14" fillId="5" borderId="0" xfId="0" applyFont="1" applyFill="1" applyBorder="1"/>
    <xf numFmtId="42" fontId="14" fillId="5" borderId="0" xfId="0" applyNumberFormat="1" applyFont="1" applyFill="1" applyBorder="1"/>
    <xf numFmtId="166" fontId="14" fillId="5" borderId="0" xfId="0" applyFont="1" applyFill="1" applyBorder="1" applyAlignment="1">
      <alignment horizontal="left" indent="1"/>
    </xf>
    <xf numFmtId="41" fontId="14" fillId="5" borderId="0" xfId="0" applyNumberFormat="1" applyFont="1" applyFill="1" applyBorder="1"/>
    <xf numFmtId="166" fontId="14" fillId="5" borderId="4" xfId="0" applyFont="1" applyFill="1" applyBorder="1" applyAlignment="1">
      <alignment horizontal="left" indent="1"/>
    </xf>
    <xf numFmtId="166" fontId="14" fillId="5" borderId="4" xfId="0" applyFont="1" applyFill="1" applyBorder="1"/>
    <xf numFmtId="41" fontId="14" fillId="5" borderId="4" xfId="0" applyNumberFormat="1" applyFont="1" applyFill="1" applyBorder="1"/>
    <xf numFmtId="42" fontId="21" fillId="5" borderId="0" xfId="0" applyNumberFormat="1" applyFont="1" applyFill="1" applyBorder="1"/>
    <xf numFmtId="166" fontId="21" fillId="5" borderId="4" xfId="0" applyFont="1" applyFill="1" applyBorder="1"/>
    <xf numFmtId="191" fontId="21" fillId="5" borderId="4" xfId="4" applyNumberFormat="1" applyFont="1" applyFill="1" applyBorder="1"/>
    <xf numFmtId="166" fontId="21" fillId="5" borderId="0" xfId="0" applyFont="1" applyFill="1" applyBorder="1" applyAlignment="1">
      <alignment horizontal="left"/>
    </xf>
    <xf numFmtId="166" fontId="14" fillId="5" borderId="0" xfId="0" applyFont="1" applyFill="1"/>
    <xf numFmtId="191" fontId="21" fillId="5" borderId="0" xfId="4" applyNumberFormat="1" applyFont="1" applyFill="1" applyBorder="1"/>
    <xf numFmtId="166" fontId="13" fillId="5" borderId="0" xfId="0" applyFont="1" applyFill="1" applyBorder="1" applyAlignment="1">
      <alignment horizontal="left" indent="1"/>
    </xf>
    <xf numFmtId="42" fontId="21" fillId="5" borderId="4" xfId="0" applyNumberFormat="1" applyFont="1" applyFill="1" applyBorder="1"/>
    <xf numFmtId="166" fontId="12" fillId="5" borderId="0" xfId="0" applyFont="1" applyFill="1" applyBorder="1" applyAlignment="1">
      <alignment horizontal="left" indent="1"/>
    </xf>
    <xf numFmtId="166" fontId="21" fillId="5" borderId="0" xfId="0" applyFont="1" applyFill="1" applyBorder="1" applyAlignment="1">
      <alignment horizontal="right"/>
    </xf>
    <xf numFmtId="192" fontId="21" fillId="5" borderId="0" xfId="4" applyNumberFormat="1" applyFont="1" applyFill="1" applyBorder="1"/>
    <xf numFmtId="165" fontId="19" fillId="0" borderId="0" xfId="4" applyNumberFormat="1" applyFont="1"/>
    <xf numFmtId="172" fontId="12" fillId="0" borderId="0" xfId="4" applyNumberFormat="1" applyFont="1" applyFill="1" applyBorder="1"/>
    <xf numFmtId="164" fontId="65" fillId="0" borderId="0" xfId="4" applyNumberFormat="1" applyFont="1" applyFill="1" applyBorder="1"/>
    <xf numFmtId="41" fontId="21" fillId="0" borderId="0" xfId="4" applyNumberFormat="1" applyFont="1" applyFill="1" applyBorder="1"/>
    <xf numFmtId="165" fontId="12" fillId="0" borderId="0" xfId="4" applyNumberFormat="1" applyFont="1"/>
    <xf numFmtId="188" fontId="22" fillId="0" borderId="0" xfId="4" applyNumberFormat="1" applyFont="1" applyFill="1" applyBorder="1"/>
    <xf numFmtId="188" fontId="22" fillId="0" borderId="17" xfId="4" applyNumberFormat="1" applyFont="1" applyFill="1" applyBorder="1"/>
    <xf numFmtId="165" fontId="22" fillId="0" borderId="4" xfId="1" applyNumberFormat="1" applyFont="1" applyBorder="1" applyAlignment="1">
      <alignment horizontal="left" indent="1"/>
    </xf>
    <xf numFmtId="165" fontId="22" fillId="0" borderId="3" xfId="1" quotePrefix="1" applyNumberFormat="1" applyFont="1" applyBorder="1" applyAlignment="1">
      <alignment horizontal="left" indent="2"/>
    </xf>
    <xf numFmtId="37" fontId="21" fillId="0" borderId="0" xfId="4" applyNumberFormat="1" applyFont="1" applyFill="1" applyBorder="1" applyAlignment="1">
      <alignment horizontal="center" wrapText="1"/>
    </xf>
    <xf numFmtId="0" fontId="26" fillId="0" borderId="0" xfId="4" applyFont="1" applyBorder="1" applyAlignment="1">
      <alignment horizontal="left" indent="1"/>
    </xf>
    <xf numFmtId="164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Alignment="1">
      <alignment horizontal="right"/>
    </xf>
    <xf numFmtId="166" fontId="11" fillId="5" borderId="0" xfId="0" applyFont="1" applyFill="1" applyBorder="1" applyAlignment="1">
      <alignment horizontal="left" indent="1"/>
    </xf>
    <xf numFmtId="166" fontId="10" fillId="0" borderId="0" xfId="0" applyFont="1"/>
    <xf numFmtId="166" fontId="21" fillId="2" borderId="0" xfId="0" applyFont="1" applyFill="1" applyAlignment="1">
      <alignment horizontal="center"/>
    </xf>
    <xf numFmtId="166" fontId="21" fillId="2" borderId="0" xfId="0" applyFont="1" applyFill="1"/>
    <xf numFmtId="166" fontId="47" fillId="0" borderId="0" xfId="0" applyFont="1"/>
    <xf numFmtId="166" fontId="68" fillId="0" borderId="0" xfId="0" applyFont="1"/>
    <xf numFmtId="166" fontId="21" fillId="2" borderId="0" xfId="0" applyFont="1" applyFill="1" applyAlignment="1">
      <alignment horizontal="left"/>
    </xf>
    <xf numFmtId="0" fontId="9" fillId="0" borderId="0" xfId="4" applyFont="1" applyBorder="1" applyAlignment="1">
      <alignment horizontal="left" indent="1"/>
    </xf>
    <xf numFmtId="42" fontId="57" fillId="0" borderId="0" xfId="4" applyNumberFormat="1" applyFont="1" applyFill="1" applyBorder="1"/>
    <xf numFmtId="0" fontId="9" fillId="0" borderId="0" xfId="4" applyFont="1" applyFill="1" applyBorder="1" applyAlignment="1">
      <alignment horizontal="center"/>
    </xf>
    <xf numFmtId="42" fontId="21" fillId="0" borderId="0" xfId="4" applyNumberFormat="1" applyFont="1"/>
    <xf numFmtId="42" fontId="21" fillId="0" borderId="0" xfId="4" applyNumberFormat="1" applyFont="1" applyBorder="1"/>
    <xf numFmtId="0" fontId="15" fillId="0" borderId="0" xfId="4" applyFont="1" applyFill="1"/>
    <xf numFmtId="164" fontId="66" fillId="0" borderId="0" xfId="4" applyNumberFormat="1" applyFont="1" applyFill="1"/>
    <xf numFmtId="0" fontId="9" fillId="0" borderId="0" xfId="4" applyFont="1"/>
    <xf numFmtId="166" fontId="9" fillId="5" borderId="0" xfId="0" applyFont="1" applyFill="1" applyBorder="1" applyAlignment="1">
      <alignment horizontal="left" indent="1"/>
    </xf>
    <xf numFmtId="0" fontId="8" fillId="2" borderId="0" xfId="4" applyFont="1" applyFill="1"/>
    <xf numFmtId="0" fontId="24" fillId="0" borderId="0" xfId="4" applyFont="1" applyFill="1" applyBorder="1" applyAlignment="1">
      <alignment horizontal="center"/>
    </xf>
    <xf numFmtId="0" fontId="21" fillId="0" borderId="1" xfId="4" applyFont="1" applyFill="1" applyBorder="1" applyAlignment="1">
      <alignment horizontal="centerContinuous"/>
    </xf>
    <xf numFmtId="166" fontId="27" fillId="5" borderId="0" xfId="0" applyFont="1" applyFill="1"/>
    <xf numFmtId="14" fontId="19" fillId="5" borderId="0" xfId="4" applyNumberFormat="1" applyFont="1" applyFill="1" applyBorder="1" applyAlignment="1">
      <alignment horizontal="center"/>
    </xf>
    <xf numFmtId="178" fontId="35" fillId="5" borderId="0" xfId="4" applyNumberFormat="1" applyFont="1" applyFill="1" applyBorder="1" applyAlignment="1">
      <alignment horizontal="center"/>
    </xf>
    <xf numFmtId="166" fontId="29" fillId="5" borderId="0" xfId="0" applyFont="1" applyFill="1"/>
    <xf numFmtId="165" fontId="29" fillId="0" borderId="0" xfId="1" applyNumberFormat="1" applyFont="1" applyFill="1" applyBorder="1" applyAlignment="1">
      <alignment horizontal="left" indent="1"/>
    </xf>
    <xf numFmtId="166" fontId="29" fillId="0" borderId="0" xfId="0" applyFont="1" applyFill="1"/>
    <xf numFmtId="14" fontId="19" fillId="0" borderId="0" xfId="4" applyNumberFormat="1" applyFont="1" applyFill="1" applyBorder="1" applyAlignment="1">
      <alignment horizontal="center"/>
    </xf>
    <xf numFmtId="165" fontId="71" fillId="0" borderId="0" xfId="1" applyNumberFormat="1" applyFont="1" applyFill="1" applyBorder="1"/>
    <xf numFmtId="172" fontId="21" fillId="0" borderId="16" xfId="4" applyNumberFormat="1" applyFont="1" applyFill="1" applyBorder="1"/>
    <xf numFmtId="0" fontId="17" fillId="0" borderId="0" xfId="4" applyFont="1" applyAlignment="1">
      <alignment horizontal="left"/>
    </xf>
    <xf numFmtId="0" fontId="8" fillId="0" borderId="0" xfId="0" applyNumberFormat="1" applyFont="1" applyAlignment="1">
      <alignment horizontal="left" indent="1"/>
    </xf>
    <xf numFmtId="166" fontId="8" fillId="0" borderId="0" xfId="0" applyFont="1"/>
    <xf numFmtId="0" fontId="21" fillId="2" borderId="0" xfId="4" applyFont="1" applyFill="1" applyAlignment="1">
      <alignment horizontal="center"/>
    </xf>
    <xf numFmtId="10" fontId="24" fillId="0" borderId="3" xfId="0" applyNumberFormat="1" applyFont="1" applyFill="1" applyBorder="1"/>
    <xf numFmtId="0" fontId="7" fillId="2" borderId="0" xfId="4" applyFont="1" applyFill="1" applyAlignment="1">
      <alignment horizontal="centerContinuous"/>
    </xf>
    <xf numFmtId="0" fontId="7" fillId="0" borderId="0" xfId="4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66" fontId="70" fillId="0" borderId="0" xfId="40" applyFont="1" applyAlignment="1">
      <alignment vertical="center"/>
    </xf>
    <xf numFmtId="166" fontId="10" fillId="0" borderId="0" xfId="0" applyFont="1" applyAlignment="1">
      <alignment vertical="center"/>
    </xf>
    <xf numFmtId="0" fontId="6" fillId="3" borderId="0" xfId="0" applyNumberFormat="1" applyFont="1" applyFill="1"/>
    <xf numFmtId="0" fontId="6" fillId="2" borderId="0" xfId="4" applyFont="1" applyFill="1"/>
    <xf numFmtId="0" fontId="6" fillId="0" borderId="0" xfId="0" applyNumberFormat="1" applyFont="1"/>
    <xf numFmtId="0" fontId="6" fillId="0" borderId="0" xfId="0" applyNumberFormat="1" applyFont="1" applyFill="1"/>
    <xf numFmtId="0" fontId="6" fillId="2" borderId="0" xfId="0" applyNumberFormat="1" applyFont="1" applyFill="1"/>
    <xf numFmtId="0" fontId="6" fillId="0" borderId="0" xfId="0" applyNumberFormat="1" applyFont="1" applyFill="1" applyAlignment="1">
      <alignment horizontal="left" indent="1"/>
    </xf>
    <xf numFmtId="0" fontId="6" fillId="0" borderId="0" xfId="4" applyFont="1"/>
    <xf numFmtId="0" fontId="6" fillId="0" borderId="0" xfId="4" applyFont="1" applyAlignment="1">
      <alignment horizontal="center"/>
    </xf>
    <xf numFmtId="164" fontId="66" fillId="4" borderId="10" xfId="4" applyNumberFormat="1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1" fontId="18" fillId="0" borderId="3" xfId="4" applyNumberFormat="1" applyFont="1" applyFill="1" applyBorder="1"/>
    <xf numFmtId="9" fontId="66" fillId="4" borderId="0" xfId="4" applyNumberFormat="1" applyFont="1" applyFill="1"/>
    <xf numFmtId="0" fontId="6" fillId="0" borderId="0" xfId="4" applyFont="1" applyFill="1"/>
    <xf numFmtId="9" fontId="66" fillId="0" borderId="0" xfId="4" applyNumberFormat="1" applyFont="1" applyFill="1"/>
    <xf numFmtId="41" fontId="22" fillId="0" borderId="0" xfId="4" applyNumberFormat="1" applyFont="1" applyFill="1"/>
    <xf numFmtId="166" fontId="6" fillId="0" borderId="0" xfId="0" applyFont="1"/>
    <xf numFmtId="166" fontId="10" fillId="0" borderId="0" xfId="0" applyFont="1" applyFill="1"/>
    <xf numFmtId="166" fontId="10" fillId="0" borderId="0" xfId="0" applyFont="1" applyFill="1" applyAlignment="1">
      <alignment vertical="center"/>
    </xf>
    <xf numFmtId="166" fontId="5" fillId="0" borderId="0" xfId="0" applyFont="1"/>
    <xf numFmtId="0" fontId="46" fillId="0" borderId="0" xfId="4" applyFont="1" applyFill="1"/>
    <xf numFmtId="0" fontId="5" fillId="3" borderId="0" xfId="4" applyFont="1" applyFill="1"/>
    <xf numFmtId="0" fontId="5" fillId="2" borderId="0" xfId="4" applyFont="1" applyFill="1"/>
    <xf numFmtId="0" fontId="5" fillId="0" borderId="0" xfId="4" applyFont="1" applyFill="1"/>
    <xf numFmtId="0" fontId="5" fillId="0" borderId="0" xfId="4" applyFont="1"/>
    <xf numFmtId="41" fontId="5" fillId="0" borderId="0" xfId="0" applyNumberFormat="1" applyFont="1"/>
    <xf numFmtId="166" fontId="21" fillId="0" borderId="0" xfId="0" applyFont="1"/>
    <xf numFmtId="166" fontId="21" fillId="0" borderId="4" xfId="0" applyFont="1" applyBorder="1"/>
    <xf numFmtId="166" fontId="5" fillId="0" borderId="4" xfId="0" applyFont="1" applyBorder="1"/>
    <xf numFmtId="41" fontId="5" fillId="0" borderId="4" xfId="0" applyNumberFormat="1" applyFont="1" applyBorder="1"/>
    <xf numFmtId="41" fontId="21" fillId="0" borderId="4" xfId="0" applyNumberFormat="1" applyFont="1" applyBorder="1"/>
    <xf numFmtId="172" fontId="66" fillId="10" borderId="0" xfId="4" applyNumberFormat="1" applyFont="1" applyFill="1" applyBorder="1"/>
    <xf numFmtId="164" fontId="5" fillId="0" borderId="0" xfId="4" applyNumberFormat="1" applyFont="1"/>
    <xf numFmtId="44" fontId="5" fillId="0" borderId="0" xfId="4" applyNumberFormat="1" applyFont="1" applyBorder="1" applyAlignment="1">
      <alignment horizontal="centerContinuous"/>
    </xf>
    <xf numFmtId="177" fontId="22" fillId="0" borderId="9" xfId="4" applyNumberFormat="1" applyFont="1" applyFill="1" applyBorder="1" applyAlignment="1">
      <alignment horizontal="center"/>
    </xf>
    <xf numFmtId="177" fontId="5" fillId="0" borderId="4" xfId="4" applyNumberFormat="1" applyFont="1" applyBorder="1" applyAlignment="1">
      <alignment horizontal="center"/>
    </xf>
    <xf numFmtId="177" fontId="5" fillId="0" borderId="11" xfId="4" applyNumberFormat="1" applyFont="1" applyBorder="1" applyAlignment="1">
      <alignment horizontal="center"/>
    </xf>
    <xf numFmtId="0" fontId="5" fillId="0" borderId="0" xfId="4" applyFont="1" applyAlignment="1">
      <alignment horizontal="right"/>
    </xf>
    <xf numFmtId="14" fontId="38" fillId="0" borderId="13" xfId="4" applyNumberFormat="1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Border="1"/>
    <xf numFmtId="164" fontId="24" fillId="0" borderId="0" xfId="4" applyNumberFormat="1" applyFont="1" applyFill="1" applyBorder="1"/>
    <xf numFmtId="189" fontId="26" fillId="0" borderId="0" xfId="4" applyNumberFormat="1" applyFont="1" applyAlignment="1">
      <alignment horizontal="left" indent="1"/>
    </xf>
    <xf numFmtId="164" fontId="67" fillId="10" borderId="0" xfId="4" applyNumberFormat="1" applyFont="1" applyFill="1" applyBorder="1" applyAlignment="1">
      <alignment horizontal="right"/>
    </xf>
    <xf numFmtId="172" fontId="22" fillId="0" borderId="0" xfId="4" applyNumberFormat="1" applyFont="1" applyFill="1" applyBorder="1"/>
    <xf numFmtId="164" fontId="72" fillId="0" borderId="0" xfId="4" applyNumberFormat="1" applyFont="1" applyFill="1" applyBorder="1"/>
    <xf numFmtId="166" fontId="5" fillId="0" borderId="0" xfId="0" applyFont="1" applyAlignment="1">
      <alignment vertical="center"/>
    </xf>
    <xf numFmtId="166" fontId="4" fillId="0" borderId="0" xfId="0" applyFont="1"/>
    <xf numFmtId="166" fontId="18" fillId="2" borderId="0" xfId="4" applyNumberFormat="1" applyFont="1" applyFill="1"/>
    <xf numFmtId="0" fontId="21" fillId="0" borderId="0" xfId="4" applyFont="1" applyFill="1" applyBorder="1" applyAlignment="1">
      <alignment horizontal="center"/>
    </xf>
    <xf numFmtId="10" fontId="24" fillId="0" borderId="0" xfId="0" applyNumberFormat="1" applyFont="1" applyFill="1"/>
    <xf numFmtId="0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center"/>
    </xf>
    <xf numFmtId="10" fontId="57" fillId="4" borderId="0" xfId="0" applyNumberFormat="1" applyFont="1" applyFill="1" applyAlignment="1">
      <alignment horizontal="center"/>
    </xf>
    <xf numFmtId="166" fontId="22" fillId="0" borderId="0" xfId="0" applyFont="1" applyAlignment="1">
      <alignment horizontal="left" indent="1"/>
    </xf>
    <xf numFmtId="0" fontId="61" fillId="0" borderId="0" xfId="4" applyFont="1" applyAlignment="1">
      <alignment horizontal="left" indent="1"/>
    </xf>
    <xf numFmtId="0" fontId="61" fillId="0" borderId="0" xfId="4" applyFont="1" applyFill="1" applyAlignment="1">
      <alignment horizontal="left" indent="1"/>
    </xf>
    <xf numFmtId="164" fontId="26" fillId="0" borderId="0" xfId="4" applyNumberFormat="1" applyFont="1" applyBorder="1"/>
    <xf numFmtId="164" fontId="26" fillId="0" borderId="0" xfId="4" applyNumberFormat="1" applyFont="1"/>
    <xf numFmtId="41" fontId="74" fillId="0" borderId="0" xfId="4" applyNumberFormat="1" applyFont="1" applyFill="1"/>
    <xf numFmtId="167" fontId="18" fillId="0" borderId="11" xfId="4" applyNumberFormat="1" applyFont="1" applyBorder="1" applyAlignment="1">
      <alignment horizontal="center"/>
    </xf>
    <xf numFmtId="0" fontId="18" fillId="0" borderId="12" xfId="4" applyNumberFormat="1" applyFont="1" applyBorder="1" applyAlignment="1">
      <alignment horizontal="center"/>
    </xf>
    <xf numFmtId="167" fontId="18" fillId="0" borderId="9" xfId="4" applyNumberFormat="1" applyFont="1" applyBorder="1" applyAlignment="1">
      <alignment horizontal="center"/>
    </xf>
    <xf numFmtId="0" fontId="18" fillId="0" borderId="13" xfId="4" applyNumberFormat="1" applyFont="1" applyBorder="1" applyAlignment="1">
      <alignment horizontal="center"/>
    </xf>
    <xf numFmtId="14" fontId="34" fillId="0" borderId="13" xfId="4" applyNumberFormat="1" applyFont="1" applyFill="1" applyBorder="1" applyAlignment="1">
      <alignment horizontal="center"/>
    </xf>
    <xf numFmtId="178" fontId="37" fillId="0" borderId="5" xfId="4" applyNumberFormat="1" applyFont="1" applyFill="1" applyBorder="1" applyAlignment="1">
      <alignment horizontal="center"/>
    </xf>
    <xf numFmtId="41" fontId="21" fillId="0" borderId="0" xfId="4" applyNumberFormat="1" applyFont="1" applyBorder="1"/>
    <xf numFmtId="38" fontId="59" fillId="4" borderId="0" xfId="4" applyNumberFormat="1" applyFont="1" applyFill="1" applyAlignment="1">
      <alignment horizontal="right"/>
    </xf>
    <xf numFmtId="38" fontId="24" fillId="0" borderId="0" xfId="4" applyNumberFormat="1" applyFont="1" applyFill="1" applyAlignment="1">
      <alignment horizontal="right"/>
    </xf>
    <xf numFmtId="41" fontId="21" fillId="0" borderId="0" xfId="4" applyNumberFormat="1" applyFont="1"/>
    <xf numFmtId="0" fontId="3" fillId="0" borderId="0" xfId="0" applyNumberFormat="1" applyFont="1" applyFill="1"/>
    <xf numFmtId="0" fontId="73" fillId="0" borderId="0" xfId="4" applyFont="1" applyFill="1" applyAlignment="1">
      <alignment horizontal="center"/>
    </xf>
    <xf numFmtId="164" fontId="72" fillId="0" borderId="0" xfId="4" applyNumberFormat="1" applyFont="1" applyFill="1" applyAlignment="1">
      <alignment horizontal="right"/>
    </xf>
    <xf numFmtId="0" fontId="2" fillId="0" borderId="0" xfId="4" applyFont="1" applyFill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0" xfId="4" applyFont="1" applyFill="1"/>
    <xf numFmtId="170" fontId="21" fillId="0" borderId="0" xfId="0" applyNumberFormat="1" applyFont="1" applyFill="1" applyAlignment="1">
      <alignment horizontal="right" vertical="center" textRotation="90"/>
    </xf>
    <xf numFmtId="192" fontId="21" fillId="5" borderId="10" xfId="4" applyNumberFormat="1" applyFont="1" applyFill="1" applyBorder="1" applyAlignment="1"/>
    <xf numFmtId="192" fontId="21" fillId="0" borderId="0" xfId="4" applyNumberFormat="1" applyFont="1" applyFill="1" applyBorder="1" applyAlignment="1"/>
  </cellXfs>
  <cellStyles count="41">
    <cellStyle name="Comma" xfId="1" builtinId="3"/>
    <cellStyle name="Comma 0" xfId="12"/>
    <cellStyle name="Comma 2" xfId="2"/>
    <cellStyle name="Comma 2 2" xfId="28"/>
    <cellStyle name="Comma 3" xfId="6"/>
    <cellStyle name="Comma 4" xfId="29"/>
    <cellStyle name="Comma 5" xfId="30"/>
    <cellStyle name="Currency 0" xfId="13"/>
    <cellStyle name="Currency 2" xfId="14"/>
    <cellStyle name="Date Aligned" xfId="15"/>
    <cellStyle name="Dotted Line" xfId="16"/>
    <cellStyle name="Footnote" xfId="17"/>
    <cellStyle name="Hard Percent" xfId="18"/>
    <cellStyle name="Header" xfId="19"/>
    <cellStyle name="Hyperlink" xfId="40" builtinId="8"/>
    <cellStyle name="Multiple" xfId="20"/>
    <cellStyle name="Normal" xfId="0" builtinId="0"/>
    <cellStyle name="Normal 2" xfId="4"/>
    <cellStyle name="Normal 2 2" xfId="31"/>
    <cellStyle name="Normal 3" xfId="5"/>
    <cellStyle name="Normal 3 2" xfId="39"/>
    <cellStyle name="Normal 4" xfId="8"/>
    <cellStyle name="Normal 5" xfId="10"/>
    <cellStyle name="Normal 6" xfId="38"/>
    <cellStyle name="Page Number" xfId="21"/>
    <cellStyle name="Percent 2" xfId="3"/>
    <cellStyle name="Percent 2 2" xfId="32"/>
    <cellStyle name="Percent 3" xfId="7"/>
    <cellStyle name="Percent 4" xfId="9"/>
    <cellStyle name="Percent 5" xfId="11"/>
    <cellStyle name="STYLE1" xfId="33"/>
    <cellStyle name="STYLE2" xfId="34"/>
    <cellStyle name="STYLE3" xfId="35"/>
    <cellStyle name="STYLE4" xfId="36"/>
    <cellStyle name="STYLE5" xfId="37"/>
    <cellStyle name="Table Head" xfId="22"/>
    <cellStyle name="Table Head Aligned" xfId="23"/>
    <cellStyle name="Table Head Blue" xfId="24"/>
    <cellStyle name="Table Head Green" xfId="25"/>
    <cellStyle name="Table Title" xfId="26"/>
    <cellStyle name="Table Units" xfId="27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Lynch Model Build">
      <a:dk1>
        <a:sysClr val="windowText" lastClr="000000"/>
      </a:dk1>
      <a:lt1>
        <a:sysClr val="window" lastClr="FFFFFF"/>
      </a:lt1>
      <a:dk2>
        <a:srgbClr val="000099"/>
      </a:dk2>
      <a:lt2>
        <a:srgbClr val="FFFFCC"/>
      </a:lt2>
      <a:accent1>
        <a:srgbClr val="0000CC"/>
      </a:accent1>
      <a:accent2>
        <a:srgbClr val="33CC33"/>
      </a:accent2>
      <a:accent3>
        <a:srgbClr val="FF0000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/>
  </sheetViews>
  <sheetFormatPr defaultColWidth="9" defaultRowHeight="14.25"/>
  <cols>
    <col min="1" max="1" width="1.59765625" style="415" customWidth="1"/>
    <col min="2" max="2" width="5.59765625" style="361" customWidth="1"/>
    <col min="3" max="3" width="25.59765625" style="361" customWidth="1"/>
    <col min="4" max="4" width="15.59765625" style="361" customWidth="1"/>
    <col min="5" max="5" width="1.59765625" style="361" customWidth="1"/>
    <col min="6" max="6" width="50.59765625" style="361" customWidth="1"/>
    <col min="7" max="16384" width="9" style="361"/>
  </cols>
  <sheetData>
    <row r="1" spans="1:6" ht="5.0999999999999996" customHeight="1"/>
    <row r="2" spans="1:6" ht="18">
      <c r="B2" s="365" t="s">
        <v>257</v>
      </c>
    </row>
    <row r="3" spans="1:6" ht="5.0999999999999996" customHeight="1"/>
    <row r="4" spans="1:6" ht="15.75">
      <c r="B4" s="364" t="s">
        <v>198</v>
      </c>
    </row>
    <row r="5" spans="1:6" ht="5.0999999999999996" customHeight="1"/>
    <row r="6" spans="1:6">
      <c r="B6" s="362" t="s">
        <v>195</v>
      </c>
      <c r="C6" s="363" t="s">
        <v>193</v>
      </c>
      <c r="D6" s="363"/>
      <c r="E6" s="363"/>
      <c r="F6" s="366" t="s">
        <v>194</v>
      </c>
    </row>
    <row r="7" spans="1:6" ht="5.0999999999999996" customHeight="1"/>
    <row r="8" spans="1:6" s="397" customFormat="1" ht="20.100000000000001" customHeight="1">
      <c r="A8" s="411"/>
      <c r="B8" s="395">
        <v>1</v>
      </c>
      <c r="C8" s="396" t="s">
        <v>187</v>
      </c>
      <c r="D8" s="396"/>
      <c r="E8" s="396"/>
      <c r="F8" s="444" t="s">
        <v>262</v>
      </c>
    </row>
    <row r="9" spans="1:6" s="397" customFormat="1" ht="20.100000000000001" customHeight="1">
      <c r="A9" s="411"/>
      <c r="B9" s="395">
        <f>B8+1</f>
        <v>2</v>
      </c>
      <c r="C9" s="396" t="s">
        <v>188</v>
      </c>
      <c r="D9" s="396"/>
      <c r="E9" s="396"/>
      <c r="F9" s="397" t="s">
        <v>199</v>
      </c>
    </row>
    <row r="10" spans="1:6" s="397" customFormat="1" ht="20.100000000000001" customHeight="1">
      <c r="A10" s="127"/>
      <c r="B10" s="395">
        <f t="shared" ref="B10:B14" si="0">B9+1</f>
        <v>3</v>
      </c>
      <c r="C10" s="396" t="s">
        <v>189</v>
      </c>
      <c r="D10" s="396"/>
      <c r="E10" s="396"/>
      <c r="F10" s="397" t="s">
        <v>200</v>
      </c>
    </row>
    <row r="11" spans="1:6" s="397" customFormat="1" ht="20.100000000000001" customHeight="1">
      <c r="A11" s="421"/>
      <c r="B11" s="395">
        <f t="shared" si="0"/>
        <v>4</v>
      </c>
      <c r="C11" s="396" t="s">
        <v>190</v>
      </c>
      <c r="D11" s="396"/>
      <c r="E11" s="396"/>
      <c r="F11" s="397" t="s">
        <v>201</v>
      </c>
    </row>
    <row r="12" spans="1:6" s="397" customFormat="1" ht="20.100000000000001" customHeight="1">
      <c r="A12" s="127"/>
      <c r="B12" s="395">
        <f t="shared" si="0"/>
        <v>5</v>
      </c>
      <c r="C12" s="396" t="s">
        <v>191</v>
      </c>
      <c r="D12" s="396"/>
      <c r="E12" s="396"/>
      <c r="F12" s="397" t="s">
        <v>203</v>
      </c>
    </row>
    <row r="13" spans="1:6" s="397" customFormat="1" ht="20.100000000000001" customHeight="1">
      <c r="A13" s="416"/>
      <c r="B13" s="395">
        <f t="shared" si="0"/>
        <v>6</v>
      </c>
      <c r="C13" s="396" t="s">
        <v>192</v>
      </c>
      <c r="D13" s="396"/>
      <c r="E13" s="396"/>
      <c r="F13" s="397" t="s">
        <v>203</v>
      </c>
    </row>
    <row r="14" spans="1:6" s="397" customFormat="1" ht="20.100000000000001" customHeight="1">
      <c r="A14" s="416"/>
      <c r="B14" s="395">
        <f t="shared" si="0"/>
        <v>7</v>
      </c>
      <c r="C14" s="396" t="s">
        <v>196</v>
      </c>
      <c r="D14" s="396"/>
      <c r="E14" s="396"/>
      <c r="F14" s="397" t="s">
        <v>204</v>
      </c>
    </row>
  </sheetData>
  <hyperlinks>
    <hyperlink ref="C8" location="'Sources &amp; Uses'!A1" display="Sources &amp; Uses"/>
    <hyperlink ref="C9" location="'Exit Analysis'!A1" display="Exit Analysis"/>
    <hyperlink ref="C10" location="'Post-Transaction Fncl Sts'!A1" display="Post-Transaction Financial Statements"/>
    <hyperlink ref="C11" location="'IS Detail'!A1" display="IS Detail"/>
    <hyperlink ref="C12" location="'Debt Schedule'!A1" display="Debt Schedule"/>
    <hyperlink ref="C13" location="'PP&amp;E Schedule'!A1" display="PP&amp;E Schedule"/>
    <hyperlink ref="C14" location="'Debt Ratios'!A1" display="Debt Ratios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zoomScale="75" zoomScaleNormal="75" workbookViewId="0"/>
  </sheetViews>
  <sheetFormatPr defaultRowHeight="14.25"/>
  <cols>
    <col min="1" max="1" width="1.59765625" style="127" customWidth="1"/>
    <col min="2" max="2" width="25.59765625" customWidth="1"/>
    <col min="3" max="3" width="5.59765625" customWidth="1"/>
    <col min="4" max="4" width="0.86328125" customWidth="1"/>
    <col min="5" max="5" width="10.59765625" customWidth="1"/>
    <col min="6" max="6" width="0.86328125" customWidth="1"/>
    <col min="7" max="7" width="10.59765625" customWidth="1"/>
    <col min="8" max="8" width="0.86328125" style="127" customWidth="1"/>
    <col min="9" max="9" width="20.59765625" customWidth="1"/>
    <col min="10" max="10" width="10.59765625" customWidth="1"/>
    <col min="11" max="11" width="0.86328125" customWidth="1"/>
    <col min="12" max="12" width="25.59765625" customWidth="1"/>
    <col min="13" max="13" width="10.59765625" customWidth="1"/>
    <col min="14" max="14" width="1.59765625" customWidth="1"/>
    <col min="15" max="15" width="25.59765625" customWidth="1"/>
  </cols>
  <sheetData>
    <row r="1" spans="1:15">
      <c r="A1" s="28"/>
      <c r="B1" s="218" t="s">
        <v>180</v>
      </c>
      <c r="C1" s="98"/>
      <c r="D1" s="98"/>
      <c r="E1" s="98"/>
      <c r="F1" s="98"/>
      <c r="G1" s="201"/>
      <c r="H1" s="98"/>
    </row>
    <row r="2" spans="1:15">
      <c r="A2" s="28"/>
      <c r="B2" s="16" t="s">
        <v>197</v>
      </c>
      <c r="C2" s="16"/>
      <c r="D2" s="16"/>
      <c r="E2" s="16"/>
      <c r="F2" s="16"/>
      <c r="G2" s="16"/>
      <c r="H2" s="98"/>
      <c r="J2" s="306"/>
    </row>
    <row r="3" spans="1:15" ht="3" customHeight="1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>
      <c r="A4" s="28"/>
      <c r="B4" s="285">
        <f>'Exit Analysis'!K1</f>
        <v>1</v>
      </c>
      <c r="C4" s="121"/>
      <c r="D4" s="121"/>
      <c r="E4" s="121"/>
      <c r="F4" s="121"/>
      <c r="G4" s="15"/>
      <c r="H4" s="15"/>
      <c r="I4" s="15"/>
      <c r="J4" s="15"/>
      <c r="K4" s="15"/>
      <c r="L4" s="15"/>
      <c r="M4" s="15"/>
    </row>
    <row r="5" spans="1:15" s="127" customFormat="1">
      <c r="A5" s="28"/>
      <c r="B5" s="260" t="s">
        <v>58</v>
      </c>
      <c r="C5" s="260"/>
      <c r="D5" s="260"/>
      <c r="E5" s="260"/>
      <c r="F5" s="260"/>
      <c r="G5" s="283">
        <v>75000</v>
      </c>
      <c r="H5" s="28"/>
      <c r="I5" s="183" t="s">
        <v>42</v>
      </c>
      <c r="J5" s="205"/>
      <c r="K5" s="24"/>
      <c r="L5" s="183" t="s">
        <v>41</v>
      </c>
      <c r="M5" s="205"/>
    </row>
    <row r="6" spans="1:15" s="127" customFormat="1">
      <c r="A6" s="468"/>
      <c r="B6" s="250" t="s">
        <v>131</v>
      </c>
      <c r="C6" s="250"/>
      <c r="D6" s="250"/>
      <c r="E6" s="250"/>
      <c r="F6" s="250"/>
      <c r="G6" s="99">
        <f>'Post-Transaction Fncl Sts'!F48</f>
        <v>12021.64</v>
      </c>
      <c r="H6" s="28"/>
      <c r="I6" s="288" t="s">
        <v>265</v>
      </c>
      <c r="J6" s="247">
        <f>SUM(G5,G11:G16)-SUM(J7:J11)</f>
        <v>3350</v>
      </c>
      <c r="K6" s="99"/>
      <c r="L6" s="288" t="s">
        <v>126</v>
      </c>
      <c r="M6" s="99">
        <f>M16-SUM(M7:M12)</f>
        <v>62500</v>
      </c>
    </row>
    <row r="7" spans="1:15" s="127" customFormat="1" ht="14.65" thickBot="1">
      <c r="A7" s="411"/>
      <c r="B7" s="268" t="s">
        <v>127</v>
      </c>
      <c r="C7" s="268"/>
      <c r="D7" s="268"/>
      <c r="E7" s="268"/>
      <c r="F7" s="268"/>
      <c r="G7" s="269">
        <f>G5/G6</f>
        <v>6.2387494551492146</v>
      </c>
      <c r="H7" s="28"/>
      <c r="I7" s="288" t="s">
        <v>264</v>
      </c>
      <c r="J7" s="286">
        <v>500</v>
      </c>
      <c r="K7" s="99"/>
      <c r="L7" s="288" t="s">
        <v>106</v>
      </c>
      <c r="M7" s="99">
        <f>'Post-Transaction Fncl Sts'!N123</f>
        <v>12500</v>
      </c>
    </row>
    <row r="8" spans="1:15" s="127" customFormat="1" ht="16.5" customHeight="1">
      <c r="A8" s="28"/>
      <c r="B8" s="250" t="s">
        <v>128</v>
      </c>
      <c r="C8" s="250"/>
      <c r="D8" s="250"/>
      <c r="E8" s="250"/>
      <c r="F8" s="250"/>
      <c r="G8" s="352">
        <f>J10/G6</f>
        <v>2.495499782059686</v>
      </c>
      <c r="H8" s="28"/>
      <c r="I8" s="288" t="s">
        <v>232</v>
      </c>
      <c r="J8" s="286">
        <v>32500</v>
      </c>
      <c r="K8" s="99"/>
      <c r="L8" s="288" t="s">
        <v>110</v>
      </c>
      <c r="M8" s="99">
        <f>G11</f>
        <v>500</v>
      </c>
    </row>
    <row r="9" spans="1:15" s="127" customFormat="1" ht="14.65" thickBot="1">
      <c r="A9" s="28"/>
      <c r="B9" s="268" t="s">
        <v>129</v>
      </c>
      <c r="C9" s="268"/>
      <c r="D9" s="268"/>
      <c r="E9" s="268"/>
      <c r="F9" s="268"/>
      <c r="G9" s="353">
        <f>J9/G6</f>
        <v>0.83183326068656194</v>
      </c>
      <c r="H9" s="28"/>
      <c r="I9" s="288" t="s">
        <v>109</v>
      </c>
      <c r="J9" s="286">
        <v>10000</v>
      </c>
      <c r="K9" s="99"/>
      <c r="L9" s="288" t="s">
        <v>205</v>
      </c>
      <c r="M9" s="99">
        <f>G13</f>
        <v>200</v>
      </c>
    </row>
    <row r="10" spans="1:15" s="127" customFormat="1">
      <c r="A10" s="28"/>
      <c r="B10" s="208" t="s">
        <v>130</v>
      </c>
      <c r="C10" s="369" t="s">
        <v>209</v>
      </c>
      <c r="D10" s="250"/>
      <c r="E10" s="369" t="s">
        <v>210</v>
      </c>
      <c r="F10" s="250"/>
      <c r="G10" s="273"/>
      <c r="H10" s="28"/>
      <c r="I10" s="288" t="s">
        <v>105</v>
      </c>
      <c r="J10" s="286">
        <v>30000</v>
      </c>
      <c r="K10" s="99"/>
      <c r="L10" s="288" t="s">
        <v>206</v>
      </c>
      <c r="M10" s="99">
        <f t="shared" ref="M10:M11" si="0">G14</f>
        <v>600</v>
      </c>
    </row>
    <row r="11" spans="1:15" s="127" customFormat="1" ht="16.5" customHeight="1">
      <c r="A11" s="28"/>
      <c r="B11" s="270" t="s">
        <v>110</v>
      </c>
      <c r="C11" s="270"/>
      <c r="D11" s="270"/>
      <c r="E11" s="270"/>
      <c r="F11" s="270"/>
      <c r="G11" s="286">
        <v>500</v>
      </c>
      <c r="H11" s="28"/>
      <c r="I11" s="288" t="s">
        <v>208</v>
      </c>
      <c r="J11" s="286">
        <v>0</v>
      </c>
      <c r="K11" s="99"/>
      <c r="L11" s="288" t="s">
        <v>207</v>
      </c>
      <c r="M11" s="99">
        <f t="shared" si="0"/>
        <v>50</v>
      </c>
    </row>
    <row r="12" spans="1:15" s="127" customFormat="1">
      <c r="A12" s="28"/>
      <c r="B12" s="271" t="s">
        <v>117</v>
      </c>
      <c r="C12" s="271"/>
      <c r="D12" s="271"/>
      <c r="E12" s="271"/>
      <c r="F12" s="271"/>
      <c r="G12" s="286">
        <v>0</v>
      </c>
      <c r="H12" s="28"/>
      <c r="K12" s="99"/>
      <c r="L12" s="288" t="s">
        <v>8</v>
      </c>
      <c r="M12" s="286">
        <v>0</v>
      </c>
      <c r="O12" s="319"/>
    </row>
    <row r="13" spans="1:15" s="127" customFormat="1">
      <c r="A13" s="28"/>
      <c r="B13" s="367" t="s">
        <v>205</v>
      </c>
      <c r="C13" s="304">
        <v>0.02</v>
      </c>
      <c r="D13" s="305"/>
      <c r="E13" s="305"/>
      <c r="F13" s="305"/>
      <c r="G13" s="247">
        <f>C13*J9</f>
        <v>200</v>
      </c>
      <c r="H13" s="28"/>
      <c r="K13" s="99"/>
    </row>
    <row r="14" spans="1:15" s="127" customFormat="1">
      <c r="A14" s="28"/>
      <c r="B14" s="367" t="s">
        <v>206</v>
      </c>
      <c r="C14" s="304">
        <v>0.02</v>
      </c>
      <c r="D14" s="305"/>
      <c r="E14" s="305"/>
      <c r="F14" s="305"/>
      <c r="G14" s="247">
        <f>C14*J10</f>
        <v>600</v>
      </c>
      <c r="H14" s="28"/>
      <c r="K14" s="99"/>
    </row>
    <row r="15" spans="1:15" s="127" customFormat="1">
      <c r="A15" s="28"/>
      <c r="B15" s="367" t="s">
        <v>207</v>
      </c>
      <c r="C15" s="304">
        <v>0.01</v>
      </c>
      <c r="D15" s="305"/>
      <c r="E15" s="286">
        <v>5000</v>
      </c>
      <c r="F15" s="368"/>
      <c r="G15" s="247">
        <f>C15*E15</f>
        <v>50</v>
      </c>
      <c r="H15" s="28"/>
      <c r="K15" s="99"/>
    </row>
    <row r="16" spans="1:15" s="127" customFormat="1" ht="14.65" thickBot="1">
      <c r="A16" s="28"/>
      <c r="B16" s="272" t="s">
        <v>63</v>
      </c>
      <c r="C16" s="272"/>
      <c r="D16" s="272"/>
      <c r="E16" s="272"/>
      <c r="F16" s="272"/>
      <c r="G16" s="287">
        <v>0</v>
      </c>
      <c r="H16" s="28"/>
      <c r="I16" s="264" t="s">
        <v>3</v>
      </c>
      <c r="J16" s="274">
        <f>SUM(J6:J11)</f>
        <v>76350</v>
      </c>
      <c r="K16" s="99"/>
      <c r="L16" s="264" t="s">
        <v>3</v>
      </c>
      <c r="M16" s="274">
        <f>J16</f>
        <v>76350</v>
      </c>
    </row>
    <row r="17" spans="2:7" ht="5.0999999999999996" customHeight="1">
      <c r="B17" s="313"/>
      <c r="C17" s="313"/>
      <c r="D17" s="313"/>
      <c r="E17" s="313"/>
      <c r="F17" s="313"/>
      <c r="G17" s="313"/>
    </row>
  </sheetData>
  <printOptions horizontalCentered="1"/>
  <pageMargins left="0.7" right="0.7" top="0.75" bottom="0.75" header="0.3" footer="0.3"/>
  <pageSetup paperSize="5" orientation="landscape" r:id="rId1"/>
  <headerFooter>
    <oddHeader>&amp;F</oddHeader>
    <oddFooter>&amp;L&amp;B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showGridLines="0" zoomScale="75" zoomScaleNormal="75" zoomScaleSheetLayoutView="75" workbookViewId="0"/>
  </sheetViews>
  <sheetFormatPr defaultColWidth="9" defaultRowHeight="14.25" outlineLevelRow="2"/>
  <cols>
    <col min="1" max="1" width="1.59765625" style="74" customWidth="1"/>
    <col min="2" max="2" width="44.1328125" style="53" customWidth="1"/>
    <col min="3" max="4" width="11.86328125" style="53" customWidth="1"/>
    <col min="5" max="11" width="15.59765625" style="53" customWidth="1"/>
    <col min="12" max="12" width="12" style="53" bestFit="1" customWidth="1"/>
    <col min="13" max="13" width="12.59765625" style="53" bestFit="1" customWidth="1"/>
    <col min="14" max="14" width="9.46484375" style="53" bestFit="1" customWidth="1"/>
    <col min="15" max="16" width="9.1328125" style="53" bestFit="1" customWidth="1"/>
    <col min="17" max="17" width="10" style="53" bestFit="1" customWidth="1"/>
    <col min="18" max="21" width="9.1328125" style="53" bestFit="1" customWidth="1"/>
    <col min="22" max="16384" width="9" style="53"/>
  </cols>
  <sheetData>
    <row r="1" spans="1:13" s="2" customFormat="1">
      <c r="A1" s="28"/>
      <c r="B1" s="16" t="str">
        <f>'Sources &amp; Uses'!B1</f>
        <v>COMPANY</v>
      </c>
      <c r="C1" s="4"/>
      <c r="D1" s="4"/>
      <c r="E1" s="4"/>
      <c r="F1" s="4"/>
      <c r="G1" s="4"/>
      <c r="H1" s="4"/>
      <c r="I1" s="4"/>
      <c r="J1" s="226" t="s">
        <v>153</v>
      </c>
      <c r="K1" s="227">
        <v>1</v>
      </c>
    </row>
    <row r="2" spans="1:13" s="2" customFormat="1">
      <c r="A2" s="28"/>
      <c r="B2" s="16" t="s">
        <v>65</v>
      </c>
      <c r="C2" s="16"/>
      <c r="D2" s="4"/>
      <c r="E2" s="284"/>
      <c r="F2" s="4"/>
      <c r="G2" s="4"/>
      <c r="H2" s="4"/>
      <c r="I2" s="4"/>
      <c r="J2" s="4"/>
      <c r="K2" s="4"/>
    </row>
    <row r="3" spans="1:13" s="2" customFormat="1" ht="3" customHeight="1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2" customFormat="1">
      <c r="A4" s="28"/>
      <c r="B4" s="15" t="s">
        <v>69</v>
      </c>
      <c r="C4" s="15"/>
      <c r="D4" s="15"/>
      <c r="E4" s="15"/>
      <c r="F4" s="15"/>
      <c r="G4" s="15"/>
      <c r="H4" s="15"/>
      <c r="I4" s="15"/>
      <c r="J4" s="15"/>
      <c r="K4" s="15"/>
    </row>
    <row r="5" spans="1:13" s="3" customFormat="1">
      <c r="A5" s="28"/>
      <c r="B5" s="129" t="s">
        <v>132</v>
      </c>
      <c r="C5" s="377"/>
      <c r="D5" s="28"/>
      <c r="E5" s="28"/>
      <c r="F5" s="28"/>
      <c r="G5" s="28"/>
      <c r="H5" s="28"/>
      <c r="I5" s="220"/>
      <c r="J5" s="221"/>
      <c r="K5" s="378">
        <v>2022</v>
      </c>
    </row>
    <row r="6" spans="1:13" s="3" customFormat="1">
      <c r="A6" s="28"/>
      <c r="B6" s="28" t="s">
        <v>66</v>
      </c>
      <c r="C6" s="28"/>
      <c r="D6" s="28"/>
      <c r="E6" s="28"/>
      <c r="F6" s="28"/>
      <c r="G6" s="28"/>
      <c r="H6" s="28"/>
      <c r="I6" s="222"/>
      <c r="J6" s="222"/>
      <c r="K6" s="289">
        <v>6.5</v>
      </c>
    </row>
    <row r="7" spans="1:13" s="2" customFormat="1">
      <c r="A7" s="3"/>
      <c r="B7" s="390" t="s">
        <v>186</v>
      </c>
      <c r="I7" s="56"/>
      <c r="J7" s="56"/>
      <c r="K7" s="55">
        <f>'Post-Transaction Fncl Sts'!K48</f>
        <v>15342.997483012496</v>
      </c>
    </row>
    <row r="8" spans="1:13" s="2" customFormat="1">
      <c r="A8" s="3"/>
      <c r="B8" s="2" t="s">
        <v>58</v>
      </c>
      <c r="I8" s="56"/>
      <c r="J8" s="56"/>
      <c r="K8" s="56">
        <f>K6*K7</f>
        <v>99729.483639581216</v>
      </c>
      <c r="M8" s="225"/>
    </row>
    <row r="9" spans="1:13" s="2" customFormat="1">
      <c r="A9" s="3"/>
      <c r="B9" s="2" t="s">
        <v>67</v>
      </c>
      <c r="I9" s="149"/>
      <c r="J9" s="149"/>
      <c r="K9" s="149">
        <f ca="1">SUM('Post-Transaction Fncl Sts'!K120:K122)</f>
        <v>19000</v>
      </c>
    </row>
    <row r="10" spans="1:13" s="2" customFormat="1">
      <c r="A10" s="411"/>
      <c r="B10" s="414" t="s">
        <v>241</v>
      </c>
      <c r="I10" s="149"/>
      <c r="J10" s="149"/>
      <c r="K10" s="56">
        <f ca="1">'Post-Transaction Fncl Sts'!K128</f>
        <v>48494.657037680037</v>
      </c>
    </row>
    <row r="11" spans="1:13" s="2" customFormat="1">
      <c r="A11" s="3"/>
      <c r="B11" s="2" t="s">
        <v>68</v>
      </c>
      <c r="I11" s="56"/>
      <c r="J11" s="56"/>
      <c r="K11" s="56">
        <f ca="1">'Post-Transaction Fncl Sts'!K77</f>
        <v>8039.7453392706229</v>
      </c>
    </row>
    <row r="12" spans="1:13" s="2" customFormat="1">
      <c r="A12" s="3"/>
      <c r="B12" s="2" t="s">
        <v>57</v>
      </c>
      <c r="I12" s="56"/>
      <c r="J12" s="56"/>
      <c r="K12" s="224">
        <f ca="1">K8-K9-K10+K11</f>
        <v>40274.571941171802</v>
      </c>
    </row>
    <row r="13" spans="1:13">
      <c r="G13" s="148"/>
      <c r="H13" s="148"/>
      <c r="I13" s="54"/>
      <c r="J13" s="54"/>
      <c r="K13" s="54"/>
    </row>
    <row r="14" spans="1:13" s="74" customFormat="1" ht="3" customHeight="1">
      <c r="B14" s="63"/>
      <c r="C14" s="63"/>
      <c r="D14" s="63"/>
      <c r="E14" s="63"/>
      <c r="F14" s="63"/>
      <c r="G14" s="64"/>
      <c r="H14" s="65"/>
      <c r="I14" s="65"/>
      <c r="J14" s="65"/>
      <c r="K14" s="65"/>
    </row>
    <row r="15" spans="1:13">
      <c r="B15" s="121" t="s">
        <v>116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3" s="74" customFormat="1">
      <c r="B16" s="129"/>
      <c r="C16" s="28"/>
      <c r="D16" s="28"/>
      <c r="E16" s="28"/>
      <c r="F16" s="188"/>
      <c r="G16" s="130"/>
      <c r="H16" s="447" t="s">
        <v>269</v>
      </c>
      <c r="I16" s="447" t="s">
        <v>268</v>
      </c>
      <c r="J16" s="447" t="s">
        <v>272</v>
      </c>
      <c r="K16" s="131" t="s">
        <v>270</v>
      </c>
    </row>
    <row r="17" spans="1:11">
      <c r="B17" s="132"/>
      <c r="C17" s="122"/>
      <c r="D17" s="133"/>
      <c r="E17" s="133"/>
      <c r="F17" s="153"/>
      <c r="G17" s="134"/>
      <c r="H17" s="134"/>
      <c r="I17" s="134"/>
      <c r="J17" s="134"/>
      <c r="K17" s="134"/>
    </row>
    <row r="18" spans="1:11">
      <c r="B18" s="198" t="s">
        <v>125</v>
      </c>
      <c r="F18" s="125"/>
      <c r="G18" s="125"/>
      <c r="H18" s="125"/>
      <c r="I18" s="125"/>
      <c r="J18" s="125"/>
      <c r="K18" s="125"/>
    </row>
    <row r="19" spans="1:11">
      <c r="B19" s="452" t="str">
        <f>'Post-Transaction Fncl Sts'!P56</f>
        <v>Common A</v>
      </c>
      <c r="C19" s="199"/>
      <c r="D19" s="200"/>
      <c r="F19" s="125"/>
      <c r="G19" s="449" t="s">
        <v>266</v>
      </c>
      <c r="H19" s="50">
        <f>'Sources &amp; Uses'!J6</f>
        <v>3350</v>
      </c>
      <c r="I19" s="450">
        <f>H19/SUM(H19:H20)</f>
        <v>0.87012987012987009</v>
      </c>
      <c r="J19" s="450"/>
      <c r="K19" s="448">
        <f>1-K20</f>
        <v>0.87012987012987009</v>
      </c>
    </row>
    <row r="20" spans="1:11">
      <c r="A20" s="468"/>
      <c r="B20" s="452" t="str">
        <f>'Post-Transaction Fncl Sts'!P57</f>
        <v>Common B</v>
      </c>
      <c r="C20" s="199"/>
      <c r="D20" s="200"/>
      <c r="F20" s="125"/>
      <c r="G20" s="449" t="s">
        <v>267</v>
      </c>
      <c r="H20" s="50">
        <f>'Sources &amp; Uses'!J7</f>
        <v>500</v>
      </c>
      <c r="I20" s="450">
        <f>H20/SUM(H19:H20)</f>
        <v>0.12987012987012986</v>
      </c>
      <c r="J20" s="451">
        <v>0</v>
      </c>
      <c r="K20" s="448">
        <f>I20+J20</f>
        <v>0.12987012987012986</v>
      </c>
    </row>
    <row r="21" spans="1:11">
      <c r="A21" s="411"/>
      <c r="B21" s="452" t="str">
        <f>'Post-Transaction Fncl Sts'!P58</f>
        <v>Preferred Stock</v>
      </c>
      <c r="C21" s="199"/>
      <c r="D21" s="200"/>
      <c r="F21" s="125"/>
      <c r="G21" s="125"/>
      <c r="H21" s="125"/>
      <c r="I21" s="125"/>
      <c r="J21" s="125"/>
      <c r="K21" s="290">
        <v>0</v>
      </c>
    </row>
    <row r="22" spans="1:11">
      <c r="B22" s="198" t="s">
        <v>102</v>
      </c>
      <c r="F22" s="125"/>
      <c r="G22" s="125"/>
      <c r="H22" s="125"/>
      <c r="I22" s="125"/>
      <c r="J22" s="125"/>
      <c r="K22" s="125"/>
    </row>
    <row r="23" spans="1:11">
      <c r="B23" s="452" t="str">
        <f>'Post-Transaction Fncl Sts'!P59</f>
        <v>Sub Debt</v>
      </c>
      <c r="C23" s="57"/>
      <c r="D23" s="57"/>
      <c r="E23" s="57"/>
      <c r="F23" s="125"/>
      <c r="G23" s="57"/>
      <c r="H23" s="125"/>
      <c r="I23" s="125"/>
      <c r="J23" s="125"/>
      <c r="K23" s="290">
        <v>0</v>
      </c>
    </row>
    <row r="24" spans="1:11">
      <c r="A24" s="95"/>
      <c r="B24" s="124" t="s">
        <v>115</v>
      </c>
      <c r="C24" s="122"/>
      <c r="D24" s="122"/>
      <c r="E24" s="122"/>
      <c r="F24" s="126"/>
      <c r="G24" s="126"/>
      <c r="H24" s="126"/>
      <c r="I24" s="126"/>
      <c r="J24" s="126"/>
      <c r="K24" s="392">
        <f>SUM(K19:K23)</f>
        <v>1</v>
      </c>
    </row>
    <row r="25" spans="1:11" ht="3" customHeight="1">
      <c r="A25" s="95"/>
      <c r="B25" s="63"/>
      <c r="C25" s="63"/>
      <c r="D25" s="63"/>
      <c r="E25" s="63"/>
      <c r="F25" s="64"/>
      <c r="G25" s="65"/>
      <c r="H25" s="65"/>
      <c r="I25" s="65"/>
      <c r="J25" s="65"/>
      <c r="K25" s="65"/>
    </row>
    <row r="26" spans="1:11">
      <c r="A26" s="95"/>
      <c r="B26" s="121" t="str">
        <f>UPPER(B19)</f>
        <v>COMMON A</v>
      </c>
      <c r="C26" s="15"/>
      <c r="D26" s="15"/>
      <c r="E26" s="15"/>
      <c r="F26" s="206">
        <f>'Post-Transaction Fncl Sts'!F7</f>
        <v>2017</v>
      </c>
      <c r="G26" s="206">
        <f>'Post-Transaction Fncl Sts'!G7</f>
        <v>2018</v>
      </c>
      <c r="H26" s="206">
        <f>'Post-Transaction Fncl Sts'!H7</f>
        <v>2019</v>
      </c>
      <c r="I26" s="206">
        <f>'Post-Transaction Fncl Sts'!I7</f>
        <v>2020</v>
      </c>
      <c r="J26" s="206">
        <f>'Post-Transaction Fncl Sts'!J7</f>
        <v>2021</v>
      </c>
      <c r="K26" s="206">
        <f>'Post-Transaction Fncl Sts'!K7</f>
        <v>2022</v>
      </c>
    </row>
    <row r="27" spans="1:11">
      <c r="A27" s="95"/>
      <c r="F27" s="59">
        <f>'Post-Transaction Fncl Sts'!$F$8</f>
        <v>43100</v>
      </c>
      <c r="G27" s="59">
        <f>'Post-Transaction Fncl Sts'!$G$8</f>
        <v>43465</v>
      </c>
      <c r="H27" s="59">
        <f>'Post-Transaction Fncl Sts'!$H$8</f>
        <v>43830</v>
      </c>
      <c r="I27" s="59">
        <f>'Post-Transaction Fncl Sts'!$I$8</f>
        <v>44196</v>
      </c>
      <c r="J27" s="59">
        <f>'Post-Transaction Fncl Sts'!$J$8</f>
        <v>44561</v>
      </c>
      <c r="K27" s="59">
        <f>'Post-Transaction Fncl Sts'!$K$8</f>
        <v>44926</v>
      </c>
    </row>
    <row r="28" spans="1:11">
      <c r="A28" s="95"/>
      <c r="F28" s="60"/>
      <c r="G28" s="60"/>
      <c r="H28" s="60"/>
      <c r="I28" s="60"/>
      <c r="J28" s="60"/>
      <c r="K28" s="60"/>
    </row>
    <row r="29" spans="1:11">
      <c r="A29" s="95"/>
      <c r="B29" s="68" t="s">
        <v>64</v>
      </c>
      <c r="C29" s="97" t="s">
        <v>104</v>
      </c>
      <c r="F29" s="60"/>
      <c r="G29" s="60"/>
      <c r="H29" s="60"/>
      <c r="I29" s="60"/>
      <c r="J29" s="60"/>
      <c r="K29" s="60"/>
    </row>
    <row r="30" spans="1:11">
      <c r="A30" s="95"/>
      <c r="B30" s="68" t="s">
        <v>103</v>
      </c>
      <c r="C30" s="69">
        <f>K19</f>
        <v>0.87012987012987009</v>
      </c>
      <c r="F30" s="60"/>
      <c r="G30" s="60"/>
      <c r="H30" s="60"/>
      <c r="I30" s="60"/>
      <c r="J30" s="60"/>
      <c r="K30" s="60"/>
    </row>
    <row r="31" spans="1:11">
      <c r="A31" s="95"/>
      <c r="B31" s="68"/>
      <c r="C31" s="96"/>
      <c r="F31" s="60"/>
      <c r="G31" s="60"/>
      <c r="H31" s="60"/>
      <c r="I31" s="60"/>
      <c r="J31" s="60"/>
      <c r="K31" s="60"/>
    </row>
    <row r="32" spans="1:11">
      <c r="A32" s="95"/>
      <c r="B32" s="75" t="s">
        <v>76</v>
      </c>
      <c r="C32" s="75"/>
      <c r="D32" s="75"/>
      <c r="E32" s="75"/>
      <c r="F32" s="76"/>
      <c r="G32" s="76"/>
      <c r="H32" s="76"/>
      <c r="I32" s="76"/>
      <c r="J32" s="76"/>
      <c r="K32" s="76"/>
    </row>
    <row r="33" spans="1:12">
      <c r="A33" s="95"/>
      <c r="B33" s="61" t="s">
        <v>72</v>
      </c>
      <c r="F33" s="62">
        <f>-'Sources &amp; Uses'!J6</f>
        <v>-3350</v>
      </c>
      <c r="G33" s="66">
        <f>SUM(G34:G35)</f>
        <v>0</v>
      </c>
      <c r="H33" s="66">
        <f t="shared" ref="H33:K33" si="0">SUM(H34:H35)</f>
        <v>0</v>
      </c>
      <c r="I33" s="66">
        <f t="shared" si="0"/>
        <v>0</v>
      </c>
      <c r="J33" s="66">
        <f t="shared" si="0"/>
        <v>0</v>
      </c>
      <c r="K33" s="66">
        <f t="shared" ca="1" si="0"/>
        <v>35044.108052707932</v>
      </c>
    </row>
    <row r="34" spans="1:12">
      <c r="A34" s="95"/>
      <c r="B34" s="61" t="s">
        <v>71</v>
      </c>
      <c r="C34" s="202"/>
      <c r="F34" s="50"/>
      <c r="G34" s="50"/>
      <c r="H34" s="50"/>
      <c r="I34" s="50"/>
      <c r="J34" s="50"/>
      <c r="K34" s="50"/>
    </row>
    <row r="35" spans="1:12">
      <c r="A35" s="95"/>
      <c r="B35" s="389" t="s">
        <v>224</v>
      </c>
      <c r="F35" s="50"/>
      <c r="G35" s="50"/>
      <c r="H35" s="50"/>
      <c r="I35" s="50"/>
      <c r="J35" s="50"/>
      <c r="K35" s="50">
        <f ca="1">$C$30*$K$12</f>
        <v>35044.108052707932</v>
      </c>
      <c r="L35" s="193"/>
    </row>
    <row r="36" spans="1:12" ht="5.0999999999999996" customHeight="1">
      <c r="A36" s="95"/>
      <c r="B36" s="189"/>
      <c r="F36" s="50"/>
      <c r="G36" s="50"/>
      <c r="H36" s="50"/>
      <c r="I36" s="50"/>
      <c r="J36" s="50"/>
      <c r="K36" s="50"/>
      <c r="L36" s="193"/>
    </row>
    <row r="37" spans="1:12">
      <c r="A37" s="95"/>
      <c r="B37" s="53" t="s">
        <v>74</v>
      </c>
      <c r="C37" s="302">
        <f ca="1">IF(F33&lt;0,XIRR(F33:K33,F27:K27),"NM")</f>
        <v>0.59883028864860532</v>
      </c>
      <c r="D37" s="278"/>
      <c r="F37" s="50"/>
      <c r="G37" s="278"/>
      <c r="H37" s="358"/>
      <c r="I37" s="358"/>
      <c r="J37" s="358"/>
      <c r="K37" s="358"/>
    </row>
    <row r="38" spans="1:12">
      <c r="A38" s="95"/>
      <c r="B38" s="53" t="s">
        <v>75</v>
      </c>
      <c r="C38" s="303">
        <f ca="1">IF(F33&lt;0,SUM(G33:K33)/-F33,"NM")</f>
        <v>10.460927776927742</v>
      </c>
      <c r="F38" s="50"/>
      <c r="G38" s="117"/>
      <c r="H38" s="359"/>
      <c r="I38" s="359"/>
      <c r="J38" s="359"/>
      <c r="K38" s="359"/>
    </row>
    <row r="39" spans="1:12" ht="3" customHeight="1">
      <c r="A39" s="95"/>
      <c r="B39" s="398"/>
      <c r="C39" s="398"/>
      <c r="D39" s="398"/>
      <c r="E39" s="398"/>
      <c r="F39" s="398"/>
      <c r="G39" s="398"/>
      <c r="H39" s="398"/>
      <c r="I39" s="398"/>
      <c r="J39" s="398"/>
      <c r="K39" s="398"/>
    </row>
    <row r="40" spans="1:12" s="74" customFormat="1" ht="15" customHeight="1">
      <c r="A40" s="468"/>
      <c r="B40" s="446" t="str">
        <f>UPPER(B20)</f>
        <v>COMMON B</v>
      </c>
      <c r="C40" s="15"/>
      <c r="D40" s="15"/>
      <c r="E40" s="15"/>
      <c r="F40" s="206">
        <f>F26</f>
        <v>2017</v>
      </c>
      <c r="G40" s="206">
        <f t="shared" ref="G40:K40" si="1">G26</f>
        <v>2018</v>
      </c>
      <c r="H40" s="206">
        <f t="shared" si="1"/>
        <v>2019</v>
      </c>
      <c r="I40" s="206">
        <f t="shared" si="1"/>
        <v>2020</v>
      </c>
      <c r="J40" s="206">
        <f t="shared" si="1"/>
        <v>2021</v>
      </c>
      <c r="K40" s="206">
        <f t="shared" si="1"/>
        <v>2022</v>
      </c>
    </row>
    <row r="41" spans="1:12" s="74" customFormat="1" ht="15" customHeight="1">
      <c r="A41" s="468"/>
      <c r="B41" s="53"/>
      <c r="C41" s="53"/>
      <c r="D41" s="53"/>
      <c r="E41" s="53"/>
      <c r="F41" s="59">
        <f>F27</f>
        <v>43100</v>
      </c>
      <c r="G41" s="59">
        <f t="shared" ref="G41:K41" si="2">G27</f>
        <v>43465</v>
      </c>
      <c r="H41" s="59">
        <f t="shared" si="2"/>
        <v>43830</v>
      </c>
      <c r="I41" s="59">
        <f t="shared" si="2"/>
        <v>44196</v>
      </c>
      <c r="J41" s="59">
        <f t="shared" si="2"/>
        <v>44561</v>
      </c>
      <c r="K41" s="59">
        <f t="shared" si="2"/>
        <v>44926</v>
      </c>
    </row>
    <row r="42" spans="1:12" s="74" customFormat="1" ht="15" customHeight="1">
      <c r="A42" s="468"/>
      <c r="B42" s="53"/>
      <c r="C42" s="53"/>
      <c r="D42" s="53"/>
      <c r="E42" s="53"/>
      <c r="F42" s="60"/>
      <c r="G42" s="60"/>
      <c r="H42" s="60"/>
      <c r="I42" s="60"/>
      <c r="J42" s="60"/>
      <c r="K42" s="60"/>
    </row>
    <row r="43" spans="1:12" s="74" customFormat="1" ht="15" customHeight="1">
      <c r="A43" s="468"/>
      <c r="B43" s="68" t="s">
        <v>64</v>
      </c>
      <c r="C43" s="97" t="s">
        <v>104</v>
      </c>
      <c r="D43" s="53"/>
      <c r="E43" s="53"/>
      <c r="F43" s="60"/>
      <c r="G43" s="60"/>
      <c r="H43" s="60"/>
      <c r="I43" s="60"/>
      <c r="J43" s="60"/>
      <c r="K43" s="60"/>
    </row>
    <row r="44" spans="1:12" s="74" customFormat="1" ht="15" customHeight="1">
      <c r="A44" s="468"/>
      <c r="B44" s="68" t="s">
        <v>103</v>
      </c>
      <c r="C44" s="69">
        <f>K20</f>
        <v>0.12987012987012986</v>
      </c>
      <c r="D44" s="53"/>
      <c r="E44" s="53"/>
      <c r="F44" s="60"/>
      <c r="G44" s="60"/>
      <c r="H44" s="60"/>
      <c r="I44" s="60"/>
      <c r="J44" s="60"/>
      <c r="K44" s="60"/>
    </row>
    <row r="45" spans="1:12" s="74" customFormat="1" ht="15" customHeight="1">
      <c r="A45" s="468"/>
      <c r="B45" s="68"/>
      <c r="C45" s="96"/>
      <c r="D45" s="53"/>
      <c r="E45" s="53"/>
      <c r="F45" s="60"/>
      <c r="G45" s="60"/>
      <c r="H45" s="60"/>
      <c r="I45" s="60"/>
      <c r="J45" s="60"/>
      <c r="K45" s="60"/>
    </row>
    <row r="46" spans="1:12" s="74" customFormat="1" ht="15" customHeight="1">
      <c r="A46" s="468"/>
      <c r="B46" s="75" t="s">
        <v>76</v>
      </c>
      <c r="C46" s="75"/>
      <c r="D46" s="75"/>
      <c r="E46" s="75"/>
      <c r="F46" s="76"/>
      <c r="G46" s="76"/>
      <c r="H46" s="76"/>
      <c r="I46" s="76"/>
      <c r="J46" s="76"/>
      <c r="K46" s="76"/>
    </row>
    <row r="47" spans="1:12" s="74" customFormat="1" ht="15" customHeight="1">
      <c r="A47" s="468"/>
      <c r="B47" s="61" t="s">
        <v>72</v>
      </c>
      <c r="C47" s="53"/>
      <c r="D47" s="53"/>
      <c r="E47" s="53"/>
      <c r="F47" s="62">
        <f>-'Sources &amp; Uses'!J7</f>
        <v>-500</v>
      </c>
      <c r="G47" s="66">
        <f>SUM(G48:G49)</f>
        <v>0</v>
      </c>
      <c r="H47" s="66">
        <f t="shared" ref="H47:K47" si="3">SUM(H48:H49)</f>
        <v>0</v>
      </c>
      <c r="I47" s="66">
        <f t="shared" si="3"/>
        <v>0</v>
      </c>
      <c r="J47" s="66">
        <f t="shared" si="3"/>
        <v>0</v>
      </c>
      <c r="K47" s="66">
        <f t="shared" ca="1" si="3"/>
        <v>5230.4638884638698</v>
      </c>
    </row>
    <row r="48" spans="1:12" s="74" customFormat="1" ht="15" customHeight="1">
      <c r="A48" s="468"/>
      <c r="B48" s="61" t="s">
        <v>71</v>
      </c>
      <c r="C48" s="202"/>
      <c r="D48" s="53"/>
      <c r="E48" s="53"/>
      <c r="F48" s="50"/>
      <c r="G48" s="50"/>
      <c r="H48" s="50"/>
      <c r="I48" s="50"/>
      <c r="J48" s="50"/>
      <c r="K48" s="50"/>
    </row>
    <row r="49" spans="1:11" s="74" customFormat="1" ht="15" customHeight="1">
      <c r="A49" s="468"/>
      <c r="B49" s="389" t="s">
        <v>224</v>
      </c>
      <c r="C49" s="53"/>
      <c r="D49" s="53"/>
      <c r="E49" s="53"/>
      <c r="F49" s="50"/>
      <c r="G49" s="50"/>
      <c r="H49" s="50"/>
      <c r="I49" s="50"/>
      <c r="J49" s="50"/>
      <c r="K49" s="50">
        <f ca="1">$C$44*$K$12</f>
        <v>5230.4638884638698</v>
      </c>
    </row>
    <row r="50" spans="1:11" s="74" customFormat="1" ht="15" customHeight="1">
      <c r="A50" s="468"/>
      <c r="B50" s="189"/>
      <c r="C50" s="53"/>
      <c r="D50" s="53"/>
      <c r="E50" s="53"/>
      <c r="F50" s="50"/>
      <c r="G50" s="50"/>
      <c r="H50" s="50"/>
      <c r="I50" s="50"/>
      <c r="J50" s="50"/>
      <c r="K50" s="50"/>
    </row>
    <row r="51" spans="1:11" s="74" customFormat="1" ht="15" customHeight="1">
      <c r="A51" s="468"/>
      <c r="B51" s="53" t="s">
        <v>74</v>
      </c>
      <c r="C51" s="302">
        <f ca="1">IF(F47&lt;0,XIRR(F47:K47,F41:K41),"NM")</f>
        <v>0.59883028864860532</v>
      </c>
      <c r="D51" s="278"/>
      <c r="E51" s="53"/>
      <c r="F51" s="50"/>
      <c r="G51" s="278"/>
      <c r="H51" s="358"/>
      <c r="I51" s="358"/>
      <c r="J51" s="358"/>
      <c r="K51" s="358"/>
    </row>
    <row r="52" spans="1:11" s="74" customFormat="1" ht="15" customHeight="1">
      <c r="A52" s="468"/>
      <c r="B52" s="53" t="s">
        <v>75</v>
      </c>
      <c r="C52" s="303">
        <f ca="1">IF(F47&lt;0,SUM(G47:K47)/-F47,"NM")</f>
        <v>10.46092777692774</v>
      </c>
      <c r="D52" s="53"/>
      <c r="E52" s="53"/>
      <c r="F52" s="50"/>
      <c r="G52" s="117"/>
      <c r="H52" s="359"/>
      <c r="I52" s="359"/>
      <c r="J52" s="359"/>
      <c r="K52" s="359"/>
    </row>
    <row r="53" spans="1:11" ht="3" customHeight="1">
      <c r="A53" s="95"/>
      <c r="B53" s="398"/>
      <c r="C53" s="398"/>
      <c r="D53" s="398"/>
      <c r="E53" s="398"/>
      <c r="F53" s="398"/>
      <c r="G53" s="398"/>
      <c r="H53" s="398"/>
      <c r="I53" s="398"/>
      <c r="J53" s="398"/>
      <c r="K53" s="398"/>
    </row>
    <row r="54" spans="1:11" outlineLevel="1">
      <c r="A54" s="411"/>
      <c r="B54" s="399" t="s">
        <v>234</v>
      </c>
      <c r="C54" s="303"/>
      <c r="D54" s="303"/>
      <c r="E54" s="303"/>
      <c r="F54" s="206">
        <f t="shared" ref="F54:K55" si="4">F26</f>
        <v>2017</v>
      </c>
      <c r="G54" s="206">
        <f t="shared" si="4"/>
        <v>2018</v>
      </c>
      <c r="H54" s="206">
        <f t="shared" si="4"/>
        <v>2019</v>
      </c>
      <c r="I54" s="206">
        <f t="shared" si="4"/>
        <v>2020</v>
      </c>
      <c r="J54" s="206">
        <f t="shared" si="4"/>
        <v>2021</v>
      </c>
      <c r="K54" s="206">
        <f t="shared" si="4"/>
        <v>2022</v>
      </c>
    </row>
    <row r="55" spans="1:11" outlineLevel="1">
      <c r="A55" s="411"/>
      <c r="B55" s="400"/>
      <c r="C55" s="359"/>
      <c r="F55" s="59">
        <f t="shared" si="4"/>
        <v>43100</v>
      </c>
      <c r="G55" s="59">
        <f t="shared" si="4"/>
        <v>43465</v>
      </c>
      <c r="H55" s="59">
        <f t="shared" si="4"/>
        <v>43830</v>
      </c>
      <c r="I55" s="59">
        <f t="shared" si="4"/>
        <v>44196</v>
      </c>
      <c r="J55" s="59">
        <f t="shared" si="4"/>
        <v>44561</v>
      </c>
      <c r="K55" s="59">
        <f t="shared" si="4"/>
        <v>44926</v>
      </c>
    </row>
    <row r="56" spans="1:11" outlineLevel="1">
      <c r="A56" s="411"/>
      <c r="B56" s="401"/>
      <c r="C56" s="359"/>
      <c r="F56" s="50"/>
      <c r="G56" s="117"/>
      <c r="H56" s="359"/>
      <c r="I56" s="359"/>
      <c r="J56" s="359"/>
      <c r="K56" s="359"/>
    </row>
    <row r="57" spans="1:11" outlineLevel="1">
      <c r="A57" s="411"/>
      <c r="B57" s="95" t="s">
        <v>64</v>
      </c>
      <c r="C57" s="97" t="s">
        <v>104</v>
      </c>
      <c r="F57" s="50"/>
      <c r="G57" s="117"/>
      <c r="H57" s="359"/>
      <c r="I57" s="359"/>
      <c r="J57" s="359"/>
      <c r="K57" s="359"/>
    </row>
    <row r="58" spans="1:11" outlineLevel="1">
      <c r="A58" s="411"/>
      <c r="B58" s="95" t="s">
        <v>103</v>
      </c>
      <c r="C58" s="69">
        <f>K21</f>
        <v>0</v>
      </c>
      <c r="F58" s="50"/>
      <c r="G58" s="117"/>
      <c r="H58" s="359"/>
      <c r="I58" s="359"/>
      <c r="J58" s="359"/>
      <c r="K58" s="359"/>
    </row>
    <row r="59" spans="1:11" outlineLevel="1">
      <c r="A59" s="411"/>
      <c r="B59" s="401"/>
      <c r="C59" s="359"/>
      <c r="F59" s="50"/>
      <c r="G59" s="117"/>
      <c r="H59" s="359"/>
      <c r="I59" s="359"/>
      <c r="J59" s="359"/>
      <c r="K59" s="359"/>
    </row>
    <row r="60" spans="1:11" outlineLevel="1">
      <c r="A60" s="411"/>
      <c r="B60" s="402" t="s">
        <v>76</v>
      </c>
      <c r="C60" s="303"/>
      <c r="D60" s="303"/>
      <c r="E60" s="303"/>
      <c r="F60" s="303"/>
      <c r="G60" s="303"/>
      <c r="H60" s="303"/>
      <c r="I60" s="303"/>
      <c r="J60" s="303"/>
      <c r="K60" s="303"/>
    </row>
    <row r="61" spans="1:11" outlineLevel="1">
      <c r="A61" s="411"/>
      <c r="B61" s="403" t="s">
        <v>72</v>
      </c>
      <c r="C61" s="359"/>
      <c r="F61" s="62">
        <f>-'Sources &amp; Uses'!J8</f>
        <v>-32500</v>
      </c>
      <c r="G61" s="66">
        <f ca="1">SUM(G62:G64)</f>
        <v>0</v>
      </c>
      <c r="H61" s="66">
        <f ca="1">SUM(H62:H64)</f>
        <v>0</v>
      </c>
      <c r="I61" s="66">
        <f ca="1">SUM(I62:I64)</f>
        <v>0</v>
      </c>
      <c r="J61" s="66">
        <f ca="1">SUM(J62:J64)</f>
        <v>0</v>
      </c>
      <c r="K61" s="66">
        <f ca="1">SUM(K62:K64)</f>
        <v>48494.657037680037</v>
      </c>
    </row>
    <row r="62" spans="1:11" outlineLevel="1">
      <c r="A62" s="411"/>
      <c r="B62" s="403" t="s">
        <v>236</v>
      </c>
      <c r="C62" s="359"/>
      <c r="F62" s="50"/>
      <c r="G62" s="50">
        <f ca="1">'Debt Schedule'!E58</f>
        <v>0</v>
      </c>
      <c r="H62" s="50">
        <f ca="1">'Debt Schedule'!F58</f>
        <v>0</v>
      </c>
      <c r="I62" s="50">
        <f ca="1">'Debt Schedule'!G58</f>
        <v>0</v>
      </c>
      <c r="J62" s="50">
        <f ca="1">'Debt Schedule'!H58</f>
        <v>0</v>
      </c>
      <c r="K62" s="50">
        <f ca="1">'Debt Schedule'!I58</f>
        <v>0</v>
      </c>
    </row>
    <row r="63" spans="1:11" outlineLevel="1">
      <c r="A63" s="411"/>
      <c r="B63" s="403" t="s">
        <v>242</v>
      </c>
      <c r="C63" s="359"/>
      <c r="F63" s="50"/>
      <c r="G63" s="117"/>
      <c r="H63" s="359"/>
      <c r="I63" s="359"/>
      <c r="J63" s="359"/>
      <c r="K63" s="50">
        <f ca="1">'Debt Schedule'!I53</f>
        <v>48494.657037680037</v>
      </c>
    </row>
    <row r="64" spans="1:11" outlineLevel="1">
      <c r="A64" s="411"/>
      <c r="B64" s="403" t="s">
        <v>224</v>
      </c>
      <c r="C64" s="359"/>
      <c r="F64" s="50"/>
      <c r="G64" s="117"/>
      <c r="H64" s="359"/>
      <c r="I64" s="359"/>
      <c r="J64" s="359"/>
      <c r="K64" s="50">
        <f ca="1">C58*K12</f>
        <v>0</v>
      </c>
    </row>
    <row r="65" spans="1:11" outlineLevel="1">
      <c r="A65" s="411"/>
      <c r="B65" s="401"/>
      <c r="C65" s="359"/>
      <c r="F65" s="50"/>
      <c r="G65" s="117"/>
      <c r="H65" s="359"/>
      <c r="I65" s="359"/>
      <c r="J65" s="359"/>
      <c r="K65" s="359"/>
    </row>
    <row r="66" spans="1:11" outlineLevel="1">
      <c r="A66" s="411"/>
      <c r="B66" s="401" t="s">
        <v>74</v>
      </c>
      <c r="C66" s="302">
        <f ca="1">IF(F61&lt;0,XIRR(F61:K61,F55:K55),"NM")</f>
        <v>8.3285847306251534E-2</v>
      </c>
      <c r="F66" s="50"/>
      <c r="G66" s="117"/>
      <c r="H66" s="359"/>
      <c r="I66" s="359"/>
      <c r="J66" s="359"/>
      <c r="K66" s="359"/>
    </row>
    <row r="67" spans="1:11" outlineLevel="1">
      <c r="A67" s="411"/>
      <c r="B67" s="401" t="s">
        <v>75</v>
      </c>
      <c r="C67" s="303">
        <f ca="1">IF(F61&lt;0,SUM(G61:K61)/-F61,"NM")</f>
        <v>1.492143293467078</v>
      </c>
      <c r="F67" s="50"/>
      <c r="G67" s="117"/>
      <c r="H67" s="359"/>
      <c r="I67" s="359"/>
      <c r="J67" s="359"/>
      <c r="K67" s="359"/>
    </row>
    <row r="68" spans="1:11" ht="3" customHeight="1" outlineLevel="1">
      <c r="A68" s="411"/>
      <c r="B68" s="398"/>
      <c r="C68" s="398"/>
      <c r="D68" s="398"/>
      <c r="E68" s="398"/>
      <c r="F68" s="398"/>
      <c r="G68" s="398"/>
      <c r="H68" s="398"/>
      <c r="I68" s="398"/>
      <c r="J68" s="398"/>
      <c r="K68" s="398"/>
    </row>
    <row r="69" spans="1:11" outlineLevel="2">
      <c r="A69" s="411"/>
      <c r="B69" s="473" t="s">
        <v>277</v>
      </c>
      <c r="C69" s="303"/>
      <c r="D69" s="303"/>
      <c r="E69" s="303"/>
      <c r="F69" s="206">
        <f>F26</f>
        <v>2017</v>
      </c>
      <c r="G69" s="206">
        <f t="shared" ref="G69:K69" si="5">G26</f>
        <v>2018</v>
      </c>
      <c r="H69" s="206">
        <f t="shared" si="5"/>
        <v>2019</v>
      </c>
      <c r="I69" s="206">
        <f t="shared" si="5"/>
        <v>2020</v>
      </c>
      <c r="J69" s="206">
        <f t="shared" si="5"/>
        <v>2021</v>
      </c>
      <c r="K69" s="206">
        <f t="shared" si="5"/>
        <v>2022</v>
      </c>
    </row>
    <row r="70" spans="1:11" outlineLevel="2">
      <c r="A70" s="411"/>
      <c r="B70" s="400"/>
      <c r="C70" s="359"/>
      <c r="F70" s="472">
        <f>F27</f>
        <v>43100</v>
      </c>
      <c r="G70" s="472">
        <f t="shared" ref="G70:K70" si="6">G27</f>
        <v>43465</v>
      </c>
      <c r="H70" s="472">
        <f t="shared" si="6"/>
        <v>43830</v>
      </c>
      <c r="I70" s="472">
        <f t="shared" si="6"/>
        <v>44196</v>
      </c>
      <c r="J70" s="472">
        <f t="shared" si="6"/>
        <v>44561</v>
      </c>
      <c r="K70" s="472">
        <f t="shared" si="6"/>
        <v>44926</v>
      </c>
    </row>
    <row r="71" spans="1:11" outlineLevel="2">
      <c r="A71" s="411"/>
      <c r="B71" s="401"/>
      <c r="C71" s="359"/>
      <c r="F71" s="50"/>
      <c r="G71" s="117"/>
      <c r="H71" s="359"/>
      <c r="I71" s="359"/>
      <c r="J71" s="359"/>
      <c r="K71" s="359"/>
    </row>
    <row r="72" spans="1:11" outlineLevel="2">
      <c r="A72" s="411"/>
      <c r="B72" s="95" t="s">
        <v>64</v>
      </c>
      <c r="C72" s="97" t="s">
        <v>104</v>
      </c>
      <c r="F72" s="50"/>
      <c r="G72" s="117"/>
      <c r="H72" s="359"/>
      <c r="I72" s="359"/>
      <c r="J72" s="359"/>
      <c r="K72" s="359"/>
    </row>
    <row r="73" spans="1:11" outlineLevel="2">
      <c r="A73" s="411"/>
      <c r="B73" s="95" t="s">
        <v>103</v>
      </c>
      <c r="C73" s="69">
        <f>K19+K21</f>
        <v>0.87012987012987009</v>
      </c>
      <c r="F73" s="50"/>
      <c r="G73" s="117"/>
      <c r="H73" s="359"/>
      <c r="I73" s="359"/>
      <c r="J73" s="359"/>
      <c r="K73" s="359"/>
    </row>
    <row r="74" spans="1:11" outlineLevel="2">
      <c r="A74" s="411"/>
      <c r="B74" s="401"/>
      <c r="C74" s="359"/>
      <c r="F74" s="50"/>
      <c r="G74" s="117"/>
      <c r="H74" s="359"/>
      <c r="I74" s="359"/>
      <c r="J74" s="359"/>
      <c r="K74" s="359"/>
    </row>
    <row r="75" spans="1:11" outlineLevel="2">
      <c r="A75" s="411"/>
      <c r="B75" s="402" t="s">
        <v>76</v>
      </c>
      <c r="C75" s="303"/>
      <c r="D75" s="303"/>
      <c r="E75" s="303"/>
      <c r="F75" s="303"/>
      <c r="G75" s="303"/>
      <c r="H75" s="303"/>
      <c r="I75" s="303"/>
      <c r="J75" s="303"/>
      <c r="K75" s="303"/>
    </row>
    <row r="76" spans="1:11" outlineLevel="2">
      <c r="A76" s="411"/>
      <c r="B76" s="403" t="s">
        <v>72</v>
      </c>
      <c r="C76" s="359"/>
      <c r="F76" s="62">
        <f>-'Sources &amp; Uses'!J8-'Sources &amp; Uses'!J6</f>
        <v>-35850</v>
      </c>
      <c r="G76" s="66">
        <f ca="1">SUM(G77:G79)</f>
        <v>0</v>
      </c>
      <c r="H76" s="66">
        <f ca="1">SUM(H77:H79)</f>
        <v>0</v>
      </c>
      <c r="I76" s="66">
        <f ca="1">SUM(I77:I79)</f>
        <v>0</v>
      </c>
      <c r="J76" s="66">
        <f ca="1">SUM(J77:J79)</f>
        <v>0</v>
      </c>
      <c r="K76" s="66">
        <f ca="1">SUM(K77:K79)</f>
        <v>83538.765090387969</v>
      </c>
    </row>
    <row r="77" spans="1:11" outlineLevel="2">
      <c r="A77" s="411"/>
      <c r="B77" s="403" t="s">
        <v>236</v>
      </c>
      <c r="C77" s="359"/>
      <c r="F77" s="50"/>
      <c r="G77" s="50">
        <f ca="1">'Debt Schedule'!E58</f>
        <v>0</v>
      </c>
      <c r="H77" s="50">
        <f ca="1">'Debt Schedule'!F58</f>
        <v>0</v>
      </c>
      <c r="I77" s="50">
        <f ca="1">'Debt Schedule'!G58</f>
        <v>0</v>
      </c>
      <c r="J77" s="50">
        <f ca="1">'Debt Schedule'!H58</f>
        <v>0</v>
      </c>
      <c r="K77" s="50">
        <f ca="1">'Debt Schedule'!I58</f>
        <v>0</v>
      </c>
    </row>
    <row r="78" spans="1:11" outlineLevel="2">
      <c r="A78" s="411"/>
      <c r="B78" s="403" t="s">
        <v>242</v>
      </c>
      <c r="C78" s="359"/>
      <c r="F78" s="50"/>
      <c r="G78" s="117"/>
      <c r="H78" s="359"/>
      <c r="I78" s="359"/>
      <c r="J78" s="359"/>
      <c r="K78" s="50">
        <f ca="1">'Debt Schedule'!I53</f>
        <v>48494.657037680037</v>
      </c>
    </row>
    <row r="79" spans="1:11" outlineLevel="2">
      <c r="A79" s="411"/>
      <c r="B79" s="403" t="s">
        <v>224</v>
      </c>
      <c r="C79" s="359"/>
      <c r="F79" s="50"/>
      <c r="G79" s="117"/>
      <c r="H79" s="359"/>
      <c r="I79" s="359"/>
      <c r="J79" s="359"/>
      <c r="K79" s="50">
        <f ca="1">C73*K12</f>
        <v>35044.108052707932</v>
      </c>
    </row>
    <row r="80" spans="1:11" outlineLevel="2">
      <c r="A80" s="411"/>
      <c r="B80" s="401"/>
      <c r="C80" s="359"/>
      <c r="F80" s="50"/>
      <c r="G80" s="117"/>
      <c r="H80" s="359"/>
      <c r="I80" s="359"/>
      <c r="J80" s="359"/>
      <c r="K80" s="359"/>
    </row>
    <row r="81" spans="1:11" outlineLevel="2">
      <c r="A81" s="411"/>
      <c r="B81" s="401" t="s">
        <v>74</v>
      </c>
      <c r="C81" s="302">
        <f ca="1">IF(F76&lt;0,XIRR(F76:K76,F70:K70),"NM")</f>
        <v>0.18423948884010316</v>
      </c>
      <c r="F81" s="50"/>
      <c r="G81" s="117"/>
      <c r="H81" s="359"/>
      <c r="I81" s="359"/>
      <c r="J81" s="359"/>
      <c r="K81" s="359"/>
    </row>
    <row r="82" spans="1:11" outlineLevel="2">
      <c r="A82" s="411"/>
      <c r="B82" s="401" t="s">
        <v>75</v>
      </c>
      <c r="C82" s="303">
        <f ca="1">IF(F76&lt;0,SUM(G76:K76)/-F76,"NM")</f>
        <v>2.3302305464543367</v>
      </c>
      <c r="F82" s="50"/>
      <c r="G82" s="117"/>
      <c r="H82" s="359"/>
      <c r="I82" s="359"/>
      <c r="J82" s="359"/>
      <c r="K82" s="359"/>
    </row>
    <row r="83" spans="1:11" ht="3" customHeight="1" outlineLevel="2">
      <c r="A83" s="95"/>
      <c r="B83" s="63"/>
      <c r="C83" s="63"/>
      <c r="D83" s="63"/>
      <c r="E83" s="63"/>
      <c r="F83" s="64"/>
      <c r="G83" s="65"/>
      <c r="H83" s="65"/>
      <c r="I83" s="65"/>
      <c r="J83" s="65"/>
      <c r="K83" s="65"/>
    </row>
    <row r="84" spans="1:11" outlineLevel="1">
      <c r="A84" s="95"/>
      <c r="B84" s="121" t="str">
        <f>UPPER(B23)</f>
        <v>SUB DEBT</v>
      </c>
      <c r="C84" s="15"/>
      <c r="D84" s="15"/>
      <c r="E84" s="15"/>
      <c r="F84" s="206">
        <f t="shared" ref="F84:K84" si="7">F26</f>
        <v>2017</v>
      </c>
      <c r="G84" s="206">
        <f t="shared" si="7"/>
        <v>2018</v>
      </c>
      <c r="H84" s="206">
        <f t="shared" si="7"/>
        <v>2019</v>
      </c>
      <c r="I84" s="206">
        <f t="shared" si="7"/>
        <v>2020</v>
      </c>
      <c r="J84" s="206">
        <f t="shared" si="7"/>
        <v>2021</v>
      </c>
      <c r="K84" s="206">
        <f t="shared" si="7"/>
        <v>2022</v>
      </c>
    </row>
    <row r="85" spans="1:11" outlineLevel="1">
      <c r="A85" s="95"/>
      <c r="F85" s="59">
        <f>'Post-Transaction Fncl Sts'!$F$8</f>
        <v>43100</v>
      </c>
      <c r="G85" s="59">
        <f>'Post-Transaction Fncl Sts'!$G$8</f>
        <v>43465</v>
      </c>
      <c r="H85" s="59">
        <f>'Post-Transaction Fncl Sts'!$H$8</f>
        <v>43830</v>
      </c>
      <c r="I85" s="59">
        <f>'Post-Transaction Fncl Sts'!$I$8</f>
        <v>44196</v>
      </c>
      <c r="J85" s="59">
        <f>'Post-Transaction Fncl Sts'!$J$8</f>
        <v>44561</v>
      </c>
      <c r="K85" s="59">
        <f>'Post-Transaction Fncl Sts'!$K$8</f>
        <v>44926</v>
      </c>
    </row>
    <row r="86" spans="1:11" outlineLevel="1">
      <c r="A86" s="95"/>
      <c r="F86" s="60"/>
      <c r="G86" s="60"/>
      <c r="H86" s="60"/>
      <c r="I86" s="60"/>
      <c r="J86" s="60"/>
      <c r="K86" s="60"/>
    </row>
    <row r="87" spans="1:11" outlineLevel="1">
      <c r="A87" s="95"/>
      <c r="B87" s="68" t="s">
        <v>64</v>
      </c>
      <c r="C87" s="97">
        <f>'Debt Schedule'!C47</f>
        <v>0.12</v>
      </c>
      <c r="F87" s="60"/>
      <c r="G87" s="60"/>
      <c r="H87" s="60"/>
      <c r="I87" s="60"/>
      <c r="J87" s="60"/>
      <c r="K87" s="60"/>
    </row>
    <row r="88" spans="1:11" outlineLevel="1">
      <c r="A88" s="95"/>
      <c r="B88" s="68" t="s">
        <v>103</v>
      </c>
      <c r="C88" s="69">
        <f>K23</f>
        <v>0</v>
      </c>
      <c r="F88" s="60"/>
      <c r="G88" s="60"/>
      <c r="H88" s="60"/>
      <c r="I88" s="60"/>
      <c r="J88" s="60"/>
      <c r="K88" s="60"/>
    </row>
    <row r="89" spans="1:11" outlineLevel="1">
      <c r="A89" s="95"/>
      <c r="B89" s="68"/>
      <c r="C89" s="96"/>
      <c r="F89" s="60"/>
      <c r="G89" s="60"/>
      <c r="H89" s="60"/>
      <c r="I89" s="60"/>
      <c r="J89" s="60"/>
      <c r="K89" s="60"/>
    </row>
    <row r="90" spans="1:11" outlineLevel="1">
      <c r="A90" s="95"/>
      <c r="B90" s="75" t="s">
        <v>76</v>
      </c>
      <c r="C90" s="75"/>
      <c r="D90" s="75"/>
      <c r="E90" s="75"/>
      <c r="F90" s="76"/>
      <c r="G90" s="76"/>
      <c r="H90" s="76"/>
      <c r="I90" s="76"/>
      <c r="J90" s="76"/>
      <c r="K90" s="76"/>
    </row>
    <row r="91" spans="1:11" outlineLevel="1">
      <c r="A91" s="95"/>
      <c r="B91" s="61" t="s">
        <v>72</v>
      </c>
      <c r="F91" s="62">
        <f>-'Sources &amp; Uses'!J9</f>
        <v>-10000</v>
      </c>
      <c r="G91" s="66">
        <f>SUM(G92:G94)</f>
        <v>1200</v>
      </c>
      <c r="H91" s="66">
        <f>SUM(H92:H94)</f>
        <v>1200</v>
      </c>
      <c r="I91" s="66">
        <f>SUM(I92:I94)</f>
        <v>1200</v>
      </c>
      <c r="J91" s="66">
        <f>SUM(J92:J94)</f>
        <v>1200</v>
      </c>
      <c r="K91" s="66">
        <f ca="1">SUM(K92:K94)</f>
        <v>11200</v>
      </c>
    </row>
    <row r="92" spans="1:11" outlineLevel="1">
      <c r="A92" s="95"/>
      <c r="B92" s="61" t="s">
        <v>77</v>
      </c>
      <c r="F92" s="56"/>
      <c r="G92" s="67">
        <f>'Debt Schedule'!E47</f>
        <v>1200</v>
      </c>
      <c r="H92" s="67">
        <f>'Debt Schedule'!F47</f>
        <v>1200</v>
      </c>
      <c r="I92" s="67">
        <f>'Debt Schedule'!G47</f>
        <v>1200</v>
      </c>
      <c r="J92" s="67">
        <f>'Debt Schedule'!H47</f>
        <v>1200</v>
      </c>
      <c r="K92" s="67">
        <f>'Debt Schedule'!I47</f>
        <v>1200</v>
      </c>
    </row>
    <row r="93" spans="1:11" outlineLevel="1">
      <c r="A93" s="95"/>
      <c r="B93" s="61" t="s">
        <v>73</v>
      </c>
      <c r="F93" s="50"/>
      <c r="G93" s="50"/>
      <c r="H93" s="50"/>
      <c r="I93" s="50"/>
      <c r="J93" s="50"/>
      <c r="K93" s="50">
        <f>'Debt Schedule'!I46</f>
        <v>10000</v>
      </c>
    </row>
    <row r="94" spans="1:11" outlineLevel="1">
      <c r="A94" s="95"/>
      <c r="B94" s="61" t="s">
        <v>57</v>
      </c>
      <c r="F94" s="50"/>
      <c r="G94" s="50"/>
      <c r="H94" s="50"/>
      <c r="I94" s="50"/>
      <c r="J94" s="50"/>
      <c r="K94" s="50">
        <f ca="1">$C$88*$K$12</f>
        <v>0</v>
      </c>
    </row>
    <row r="95" spans="1:11" ht="5.0999999999999996" customHeight="1" outlineLevel="1">
      <c r="A95" s="95"/>
      <c r="B95" s="61"/>
      <c r="F95" s="50"/>
      <c r="G95" s="50"/>
      <c r="H95" s="50"/>
      <c r="I95" s="50"/>
      <c r="J95" s="50"/>
      <c r="K95" s="50"/>
    </row>
    <row r="96" spans="1:11" outlineLevel="1">
      <c r="A96" s="95"/>
      <c r="B96" s="53" t="s">
        <v>74</v>
      </c>
      <c r="C96" s="302">
        <f ca="1">IF(F91&lt;0,XIRR(F91:K91,F85:K85),"NM")</f>
        <v>0.11993137001991269</v>
      </c>
      <c r="F96" s="50"/>
      <c r="G96" s="278"/>
      <c r="H96" s="278"/>
      <c r="I96" s="278"/>
      <c r="J96" s="278"/>
      <c r="K96" s="278"/>
    </row>
    <row r="97" spans="1:11" outlineLevel="1">
      <c r="A97" s="95"/>
      <c r="B97" s="53" t="s">
        <v>75</v>
      </c>
      <c r="C97" s="303">
        <f ca="1">IF(F91&lt;0,SUM(G91:K91)/-F91,"NM")</f>
        <v>1.6</v>
      </c>
      <c r="F97" s="50"/>
      <c r="G97" s="117"/>
      <c r="H97" s="117"/>
      <c r="I97" s="117"/>
      <c r="J97" s="117"/>
      <c r="K97" s="117"/>
    </row>
    <row r="98" spans="1:11" ht="3" customHeight="1" outlineLevel="1">
      <c r="A98" s="95"/>
      <c r="B98" s="63"/>
      <c r="C98" s="63"/>
      <c r="D98" s="63"/>
      <c r="E98" s="63"/>
      <c r="F98" s="64"/>
      <c r="G98" s="65"/>
      <c r="H98" s="65"/>
      <c r="I98" s="65"/>
      <c r="J98" s="65"/>
      <c r="K98" s="65"/>
    </row>
    <row r="99" spans="1:11" s="74" customFormat="1" ht="15" hidden="1" customHeight="1" outlineLevel="2">
      <c r="B99" s="376" t="s">
        <v>216</v>
      </c>
      <c r="C99" s="121"/>
      <c r="D99" s="15"/>
      <c r="E99" s="15"/>
      <c r="F99" s="15"/>
      <c r="G99" s="15"/>
      <c r="H99" s="15"/>
      <c r="I99" s="15"/>
      <c r="J99" s="15"/>
      <c r="K99" s="15"/>
    </row>
    <row r="100" spans="1:11" s="74" customFormat="1" hidden="1" outlineLevel="2">
      <c r="C100" s="117"/>
      <c r="F100" s="123"/>
      <c r="G100" s="123"/>
      <c r="H100" s="123"/>
      <c r="I100" s="123"/>
      <c r="J100" s="123"/>
      <c r="K100" s="123"/>
    </row>
    <row r="101" spans="1:11" s="74" customFormat="1" ht="15" hidden="1" customHeight="1" outlineLevel="2">
      <c r="B101" s="95" t="s">
        <v>185</v>
      </c>
      <c r="C101" s="117"/>
      <c r="E101" s="158" t="s">
        <v>123</v>
      </c>
      <c r="F101" s="159"/>
      <c r="G101" s="159"/>
      <c r="H101" s="159"/>
      <c r="I101" s="159"/>
      <c r="J101" s="159"/>
      <c r="K101" s="159"/>
    </row>
    <row r="102" spans="1:11" s="74" customFormat="1" ht="15" hidden="1" customHeight="1" outlineLevel="2">
      <c r="C102" s="117"/>
      <c r="D102" s="192" t="e">
        <f>#REF!</f>
        <v>#REF!</v>
      </c>
      <c r="E102" s="160">
        <v>5</v>
      </c>
      <c r="F102" s="160">
        <f>+E102+0.5</f>
        <v>5.5</v>
      </c>
      <c r="G102" s="160">
        <f t="shared" ref="G102:K102" si="8">+F102+0.5</f>
        <v>6</v>
      </c>
      <c r="H102" s="160">
        <f t="shared" si="8"/>
        <v>6.5</v>
      </c>
      <c r="I102" s="160">
        <f t="shared" si="8"/>
        <v>7</v>
      </c>
      <c r="J102" s="160">
        <f t="shared" si="8"/>
        <v>7.5</v>
      </c>
      <c r="K102" s="160">
        <f t="shared" si="8"/>
        <v>8</v>
      </c>
    </row>
    <row r="103" spans="1:11" s="74" customFormat="1" ht="20.100000000000001" hidden="1" customHeight="1" outlineLevel="2">
      <c r="B103" s="190"/>
      <c r="C103" s="474" t="s">
        <v>124</v>
      </c>
      <c r="D103" s="157">
        <v>1</v>
      </c>
      <c r="E103" s="155"/>
      <c r="F103" s="155"/>
      <c r="G103" s="155"/>
      <c r="H103" s="155"/>
      <c r="I103" s="155"/>
      <c r="J103" s="155"/>
      <c r="K103" s="155"/>
    </row>
    <row r="104" spans="1:11" s="74" customFormat="1" ht="20.100000000000001" hidden="1" customHeight="1" outlineLevel="2">
      <c r="B104" s="190"/>
      <c r="C104" s="474"/>
      <c r="D104" s="157">
        <v>2</v>
      </c>
      <c r="E104" s="155"/>
      <c r="F104" s="155"/>
      <c r="G104" s="155"/>
      <c r="H104" s="155"/>
      <c r="I104" s="155"/>
      <c r="J104" s="155"/>
      <c r="K104" s="155"/>
    </row>
    <row r="105" spans="1:11" s="74" customFormat="1" ht="20.100000000000001" hidden="1" customHeight="1" outlineLevel="2">
      <c r="B105" s="190"/>
      <c r="C105" s="474"/>
      <c r="D105" s="157">
        <v>3</v>
      </c>
      <c r="E105" s="155"/>
      <c r="F105" s="155"/>
      <c r="G105" s="155"/>
      <c r="H105" s="155"/>
      <c r="I105" s="155"/>
      <c r="J105" s="155"/>
      <c r="K105" s="155"/>
    </row>
    <row r="106" spans="1:11" s="74" customFormat="1" ht="15" hidden="1" customHeight="1" outlineLevel="2">
      <c r="B106" s="156"/>
      <c r="C106" s="161"/>
      <c r="D106" s="58"/>
      <c r="E106" s="154"/>
      <c r="F106" s="154"/>
      <c r="G106" s="154"/>
      <c r="H106" s="154"/>
      <c r="I106" s="154"/>
      <c r="J106" s="154"/>
      <c r="K106" s="154"/>
    </row>
    <row r="107" spans="1:11" s="74" customFormat="1" ht="15" hidden="1" customHeight="1" outlineLevel="2">
      <c r="B107" s="156"/>
      <c r="C107" s="163"/>
      <c r="F107" s="123"/>
      <c r="G107" s="123"/>
      <c r="H107" s="123"/>
      <c r="I107" s="123"/>
      <c r="J107" s="123"/>
      <c r="K107" s="123"/>
    </row>
    <row r="108" spans="1:11" s="74" customFormat="1" ht="15" hidden="1" customHeight="1" outlineLevel="2">
      <c r="B108" s="156"/>
      <c r="C108" s="163"/>
      <c r="E108" s="158" t="s">
        <v>123</v>
      </c>
      <c r="F108" s="159"/>
      <c r="G108" s="159"/>
      <c r="H108" s="159"/>
      <c r="I108" s="159"/>
      <c r="J108" s="159"/>
      <c r="K108" s="159"/>
    </row>
    <row r="109" spans="1:11" s="74" customFormat="1" ht="15" hidden="1" customHeight="1" outlineLevel="2">
      <c r="B109" s="95" t="s">
        <v>185</v>
      </c>
      <c r="C109" s="163"/>
      <c r="D109" s="191">
        <f ca="1">C96</f>
        <v>0.11993137001991269</v>
      </c>
      <c r="E109" s="160">
        <v>5</v>
      </c>
      <c r="F109" s="160">
        <f>+E109+0.5</f>
        <v>5.5</v>
      </c>
      <c r="G109" s="160">
        <f t="shared" ref="G109:K109" si="9">+F109+0.5</f>
        <v>6</v>
      </c>
      <c r="H109" s="160">
        <f t="shared" si="9"/>
        <v>6.5</v>
      </c>
      <c r="I109" s="160">
        <f t="shared" si="9"/>
        <v>7</v>
      </c>
      <c r="J109" s="160">
        <f t="shared" si="9"/>
        <v>7.5</v>
      </c>
      <c r="K109" s="160">
        <f t="shared" si="9"/>
        <v>8</v>
      </c>
    </row>
    <row r="110" spans="1:11" s="74" customFormat="1" ht="20.100000000000001" hidden="1" customHeight="1" outlineLevel="2">
      <c r="B110" s="190"/>
      <c r="C110" s="474" t="s">
        <v>124</v>
      </c>
      <c r="D110" s="157">
        <v>1</v>
      </c>
      <c r="E110" s="155"/>
      <c r="F110" s="155"/>
      <c r="G110" s="155"/>
      <c r="H110" s="155"/>
      <c r="I110" s="155"/>
      <c r="J110" s="155"/>
      <c r="K110" s="155"/>
    </row>
    <row r="111" spans="1:11" s="74" customFormat="1" ht="20.100000000000001" hidden="1" customHeight="1" outlineLevel="2">
      <c r="B111" s="190"/>
      <c r="C111" s="474"/>
      <c r="D111" s="157">
        <v>2</v>
      </c>
      <c r="E111" s="155"/>
      <c r="F111" s="155"/>
      <c r="G111" s="155"/>
      <c r="H111" s="155"/>
      <c r="I111" s="155"/>
      <c r="J111" s="155"/>
      <c r="K111" s="155"/>
    </row>
    <row r="112" spans="1:11" s="74" customFormat="1" ht="20.100000000000001" hidden="1" customHeight="1" outlineLevel="2">
      <c r="B112" s="190"/>
      <c r="C112" s="474"/>
      <c r="D112" s="157">
        <v>3</v>
      </c>
      <c r="E112" s="155"/>
      <c r="F112" s="155"/>
      <c r="G112" s="155"/>
      <c r="H112" s="155"/>
      <c r="I112" s="155"/>
      <c r="J112" s="155"/>
      <c r="K112" s="155"/>
    </row>
    <row r="113" spans="2:27" s="58" customFormat="1" ht="15" hidden="1" customHeight="1" outlineLevel="2">
      <c r="B113" s="164"/>
      <c r="C113" s="165"/>
      <c r="E113" s="155"/>
      <c r="F113" s="155"/>
      <c r="G113" s="155"/>
      <c r="H113" s="155"/>
      <c r="I113" s="155"/>
      <c r="J113" s="155"/>
      <c r="K113" s="155"/>
    </row>
    <row r="114" spans="2:27" ht="3" hidden="1" customHeight="1" outlineLevel="2">
      <c r="B114" s="63"/>
      <c r="C114" s="63"/>
      <c r="D114" s="63"/>
      <c r="E114" s="63"/>
      <c r="F114" s="64"/>
      <c r="G114" s="65"/>
      <c r="H114" s="65"/>
      <c r="I114" s="65"/>
      <c r="J114" s="65"/>
      <c r="K114" s="65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2:27" ht="15" hidden="1" customHeight="1" outlineLevel="2">
      <c r="B115" s="376" t="s">
        <v>217</v>
      </c>
      <c r="C115" s="121"/>
      <c r="D115" s="15"/>
      <c r="E115" s="15"/>
      <c r="F115" s="15"/>
      <c r="G115" s="15"/>
      <c r="H115" s="15"/>
      <c r="I115" s="15"/>
      <c r="J115" s="15"/>
      <c r="K115" s="15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2:27" s="74" customFormat="1" ht="11.25" hidden="1" customHeight="1" outlineLevel="2">
      <c r="B116" s="129"/>
      <c r="C116" s="129"/>
      <c r="D116" s="28"/>
      <c r="E116" s="28"/>
      <c r="F116" s="231">
        <f>'Post-Transaction Fncl Sts'!F8</f>
        <v>43100</v>
      </c>
      <c r="G116" s="232">
        <f>'Post-Transaction Fncl Sts'!G8</f>
        <v>43465</v>
      </c>
      <c r="H116" s="232">
        <f>'Post-Transaction Fncl Sts'!H8</f>
        <v>43830</v>
      </c>
      <c r="I116" s="232">
        <f>'Post-Transaction Fncl Sts'!I8</f>
        <v>44196</v>
      </c>
      <c r="J116" s="232">
        <f>'Post-Transaction Fncl Sts'!J8</f>
        <v>44561</v>
      </c>
      <c r="K116" s="232">
        <f>'Post-Transaction Fncl Sts'!K8</f>
        <v>44926</v>
      </c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2:27" s="74" customFormat="1" ht="11.25" hidden="1" customHeight="1" outlineLevel="2">
      <c r="B117" s="129"/>
      <c r="C117" s="129"/>
      <c r="D117" s="28"/>
      <c r="E117" s="28"/>
      <c r="F117" s="147">
        <f>'Post-Transaction Fncl Sts'!F9</f>
        <v>12</v>
      </c>
      <c r="G117" s="145">
        <f>'Post-Transaction Fncl Sts'!G9</f>
        <v>12</v>
      </c>
      <c r="H117" s="145">
        <f>'Post-Transaction Fncl Sts'!H9</f>
        <v>12</v>
      </c>
      <c r="I117" s="145">
        <f>'Post-Transaction Fncl Sts'!I9</f>
        <v>12</v>
      </c>
      <c r="J117" s="145">
        <f>'Post-Transaction Fncl Sts'!J9</f>
        <v>12</v>
      </c>
      <c r="K117" s="145">
        <f>'Post-Transaction Fncl Sts'!K9</f>
        <v>12</v>
      </c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2:27" hidden="1" outlineLevel="2"/>
    <row r="119" spans="2:27" hidden="1" outlineLevel="2">
      <c r="B119" s="240">
        <v>1</v>
      </c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2:27" hidden="1" outlineLevel="2">
      <c r="C120" s="228" t="s">
        <v>134</v>
      </c>
      <c r="F120" s="229">
        <f>IF($B$119=$K$1,'Post-Transaction Fncl Sts'!F11,'Exit Analysis'!F120)</f>
        <v>50000</v>
      </c>
      <c r="G120" s="229">
        <f>IF($B$119=$K$1,'Post-Transaction Fncl Sts'!G11,'Exit Analysis'!G120)</f>
        <v>52500</v>
      </c>
      <c r="H120" s="229">
        <f>IF($B$119=$K$1,'Post-Transaction Fncl Sts'!H11,'Exit Analysis'!H120)</f>
        <v>55125</v>
      </c>
      <c r="I120" s="229">
        <f>IF($B$119=$K$1,'Post-Transaction Fncl Sts'!I11,'Exit Analysis'!I120)</f>
        <v>57881.25</v>
      </c>
      <c r="J120" s="229">
        <f>IF($B$119=$K$1,'Post-Transaction Fncl Sts'!J11,'Exit Analysis'!J120)</f>
        <v>60775.3125</v>
      </c>
      <c r="K120" s="229">
        <f>IF($B$119=$K$1,'Post-Transaction Fncl Sts'!K11,'Exit Analysis'!K120)</f>
        <v>63814.078125</v>
      </c>
    </row>
    <row r="121" spans="2:27" hidden="1" outlineLevel="2">
      <c r="C121" s="234" t="s">
        <v>137</v>
      </c>
      <c r="F121" s="229"/>
      <c r="G121" s="233">
        <f>G120/F120-1</f>
        <v>5.0000000000000044E-2</v>
      </c>
      <c r="H121" s="233">
        <f>H120/G120-1</f>
        <v>5.0000000000000044E-2</v>
      </c>
      <c r="I121" s="233">
        <f>I120/H120-1</f>
        <v>5.0000000000000044E-2</v>
      </c>
      <c r="J121" s="233">
        <f t="shared" ref="J121:K121" si="10">J120/I120-1</f>
        <v>5.0000000000000044E-2</v>
      </c>
      <c r="K121" s="233">
        <f t="shared" si="10"/>
        <v>5.0000000000000044E-2</v>
      </c>
    </row>
    <row r="122" spans="2:27" hidden="1" outlineLevel="2">
      <c r="C122" s="228" t="s">
        <v>94</v>
      </c>
      <c r="F122" s="229">
        <f>IF($B$119=$K$1,'Post-Transaction Fncl Sts'!F14,'Exit Analysis'!F122)</f>
        <v>29383</v>
      </c>
      <c r="G122" s="229">
        <f>IF($B$119=$K$1,'Post-Transaction Fncl Sts'!G14,'Exit Analysis'!G122)</f>
        <v>30852.149999999998</v>
      </c>
      <c r="H122" s="229">
        <f>IF($B$119=$K$1,'Post-Transaction Fncl Sts'!H14,'Exit Analysis'!H122)</f>
        <v>32394.757499999996</v>
      </c>
      <c r="I122" s="229">
        <f>IF($B$119=$K$1,'Post-Transaction Fncl Sts'!I14,'Exit Analysis'!I122)</f>
        <v>34014.495374999999</v>
      </c>
      <c r="J122" s="229">
        <f>IF($B$119=$K$1,'Post-Transaction Fncl Sts'!J14,'Exit Analysis'!J122)</f>
        <v>35715.220143750004</v>
      </c>
      <c r="K122" s="229">
        <f>IF($B$119=$K$1,'Post-Transaction Fncl Sts'!K14,'Exit Analysis'!K122)</f>
        <v>37500.981150937507</v>
      </c>
    </row>
    <row r="123" spans="2:27" hidden="1" outlineLevel="2">
      <c r="C123" s="235" t="s">
        <v>135</v>
      </c>
      <c r="D123" s="236"/>
      <c r="E123" s="236"/>
      <c r="F123" s="237">
        <f>F120-F122</f>
        <v>20617</v>
      </c>
      <c r="G123" s="237">
        <f t="shared" ref="G123:K123" si="11">G120-G122</f>
        <v>21647.850000000002</v>
      </c>
      <c r="H123" s="237">
        <f t="shared" si="11"/>
        <v>22730.242500000004</v>
      </c>
      <c r="I123" s="237">
        <f t="shared" si="11"/>
        <v>23866.754625000001</v>
      </c>
      <c r="J123" s="237">
        <f t="shared" si="11"/>
        <v>25060.092356249996</v>
      </c>
      <c r="K123" s="237">
        <f t="shared" si="11"/>
        <v>26313.096974062493</v>
      </c>
    </row>
    <row r="124" spans="2:27" hidden="1" outlineLevel="2">
      <c r="C124" s="234" t="s">
        <v>45</v>
      </c>
      <c r="F124" s="233">
        <f>F123/F120</f>
        <v>0.41233999999999998</v>
      </c>
      <c r="G124" s="233">
        <f t="shared" ref="G124:K124" si="12">G123/G120</f>
        <v>0.41234000000000004</v>
      </c>
      <c r="H124" s="233">
        <f t="shared" si="12"/>
        <v>0.4123400000000001</v>
      </c>
      <c r="I124" s="233">
        <f t="shared" si="12"/>
        <v>0.41234000000000004</v>
      </c>
      <c r="J124" s="233">
        <f t="shared" si="12"/>
        <v>0.41233999999999993</v>
      </c>
      <c r="K124" s="233">
        <f t="shared" si="12"/>
        <v>0.41233999999999987</v>
      </c>
    </row>
    <row r="125" spans="2:27" hidden="1" outlineLevel="2">
      <c r="C125" s="228" t="s">
        <v>37</v>
      </c>
      <c r="F125" s="229">
        <f>IF($B$119=$K$1,'Post-Transaction Fncl Sts'!F20,'Exit Analysis'!F125)</f>
        <v>8595.36</v>
      </c>
      <c r="G125" s="229">
        <f>IF($B$119=$K$1,'Post-Transaction Fncl Sts'!G20,'Exit Analysis'!G125)</f>
        <v>9025.1280000000006</v>
      </c>
      <c r="H125" s="229">
        <f>IF($B$119=$K$1,'Post-Transaction Fncl Sts'!H20,'Exit Analysis'!H125)</f>
        <v>9476.384399999999</v>
      </c>
      <c r="I125" s="229">
        <f>IF($B$119=$K$1,'Post-Transaction Fncl Sts'!I20,'Exit Analysis'!I125)</f>
        <v>9950.2036199999984</v>
      </c>
      <c r="J125" s="229">
        <f>IF($B$119=$K$1,'Post-Transaction Fncl Sts'!J20,'Exit Analysis'!J125)</f>
        <v>10447.713801000004</v>
      </c>
      <c r="K125" s="229">
        <f>IF($B$119=$K$1,'Post-Transaction Fncl Sts'!K20,'Exit Analysis'!K125)</f>
        <v>10970.099491049998</v>
      </c>
    </row>
    <row r="126" spans="2:27" hidden="1" outlineLevel="2">
      <c r="C126" s="235" t="s">
        <v>108</v>
      </c>
      <c r="D126" s="236"/>
      <c r="E126" s="236"/>
      <c r="F126" s="237">
        <f>F123-F125</f>
        <v>12021.64</v>
      </c>
      <c r="G126" s="237">
        <f t="shared" ref="G126:K126" si="13">G123-G125</f>
        <v>12622.722000000002</v>
      </c>
      <c r="H126" s="237">
        <f t="shared" si="13"/>
        <v>13253.858100000005</v>
      </c>
      <c r="I126" s="237">
        <f t="shared" si="13"/>
        <v>13916.551005000003</v>
      </c>
      <c r="J126" s="237">
        <f t="shared" si="13"/>
        <v>14612.378555249992</v>
      </c>
      <c r="K126" s="237">
        <f t="shared" si="13"/>
        <v>15342.997483012496</v>
      </c>
    </row>
    <row r="127" spans="2:27" hidden="1" outlineLevel="2">
      <c r="C127" s="234" t="s">
        <v>45</v>
      </c>
      <c r="F127" s="233">
        <f>F126/F120</f>
        <v>0.2404328</v>
      </c>
      <c r="G127" s="233">
        <f t="shared" ref="G127:K127" si="14">G126/G120</f>
        <v>0.24043280000000003</v>
      </c>
      <c r="H127" s="233">
        <f t="shared" si="14"/>
        <v>0.24043280000000009</v>
      </c>
      <c r="I127" s="233">
        <f t="shared" si="14"/>
        <v>0.24043280000000006</v>
      </c>
      <c r="J127" s="233">
        <f t="shared" si="14"/>
        <v>0.24043279999999986</v>
      </c>
      <c r="K127" s="233">
        <f t="shared" si="14"/>
        <v>0.24043279999999992</v>
      </c>
    </row>
    <row r="128" spans="2:27" ht="3" hidden="1" customHeight="1" outlineLevel="2">
      <c r="C128" s="228"/>
      <c r="F128" s="229"/>
      <c r="G128" s="229"/>
      <c r="H128" s="229"/>
      <c r="I128" s="229"/>
      <c r="J128" s="229"/>
      <c r="K128" s="229"/>
    </row>
    <row r="129" spans="2:11" hidden="1" outlineLevel="2">
      <c r="C129" s="228" t="s">
        <v>136</v>
      </c>
      <c r="F129" s="229">
        <f>IF($B$119=$K$1,'Post-Transaction Fncl Sts'!F48,'Exit Analysis'!F129)</f>
        <v>12021.64</v>
      </c>
      <c r="G129" s="229">
        <f>IF($B$119=$K$1,'Post-Transaction Fncl Sts'!G48,'Exit Analysis'!G129)</f>
        <v>12622.722000000002</v>
      </c>
      <c r="H129" s="229">
        <f>IF($B$119=$K$1,'Post-Transaction Fncl Sts'!H48,'Exit Analysis'!H129)</f>
        <v>13253.858100000005</v>
      </c>
      <c r="I129" s="229">
        <f>IF($B$119=$K$1,'Post-Transaction Fncl Sts'!I48,'Exit Analysis'!I129)</f>
        <v>13916.551005000003</v>
      </c>
      <c r="J129" s="229">
        <f>IF($B$119=$K$1,'Post-Transaction Fncl Sts'!J48,'Exit Analysis'!J129)</f>
        <v>14612.378555249992</v>
      </c>
      <c r="K129" s="229">
        <f>IF($B$119=$K$1,'Post-Transaction Fncl Sts'!K48,'Exit Analysis'!K129)</f>
        <v>15342.997483012496</v>
      </c>
    </row>
    <row r="130" spans="2:11" hidden="1" outlineLevel="2">
      <c r="C130" s="234" t="s">
        <v>45</v>
      </c>
      <c r="F130" s="233">
        <f t="shared" ref="F130:K130" si="15">F129/F120</f>
        <v>0.2404328</v>
      </c>
      <c r="G130" s="233">
        <f t="shared" si="15"/>
        <v>0.24043280000000003</v>
      </c>
      <c r="H130" s="233">
        <f t="shared" si="15"/>
        <v>0.24043280000000009</v>
      </c>
      <c r="I130" s="233">
        <f t="shared" si="15"/>
        <v>0.24043280000000006</v>
      </c>
      <c r="J130" s="233">
        <f t="shared" si="15"/>
        <v>0.24043279999999986</v>
      </c>
      <c r="K130" s="233">
        <f t="shared" si="15"/>
        <v>0.24043279999999992</v>
      </c>
    </row>
    <row r="131" spans="2:11" ht="3" hidden="1" customHeight="1" outlineLevel="2">
      <c r="C131" s="228"/>
      <c r="F131" s="229"/>
      <c r="G131" s="229"/>
      <c r="H131" s="229"/>
      <c r="I131" s="229"/>
      <c r="J131" s="229"/>
      <c r="K131" s="229"/>
    </row>
    <row r="132" spans="2:11" ht="15" hidden="1" customHeight="1" outlineLevel="2">
      <c r="B132" s="240">
        <v>2</v>
      </c>
      <c r="C132" s="239"/>
      <c r="D132" s="75"/>
      <c r="E132" s="75"/>
      <c r="F132" s="238"/>
      <c r="G132" s="238"/>
      <c r="H132" s="238"/>
      <c r="I132" s="238"/>
      <c r="J132" s="238"/>
      <c r="K132" s="238"/>
    </row>
    <row r="133" spans="2:11" hidden="1" outlineLevel="2">
      <c r="C133" s="228" t="s">
        <v>134</v>
      </c>
      <c r="F133" s="229">
        <f ca="1">IF($B$132=$K$1,'Post-Transaction Fncl Sts'!F11,'Exit Analysis'!F133)</f>
        <v>50000</v>
      </c>
      <c r="G133" s="229">
        <f ca="1">IF($B$132=$K$1,'Post-Transaction Fncl Sts'!G11,'Exit Analysis'!G133)</f>
        <v>55000.000000000007</v>
      </c>
      <c r="H133" s="229">
        <f ca="1">IF($B$132=$K$1,'Post-Transaction Fncl Sts'!H11,'Exit Analysis'!H133)</f>
        <v>60500.000000000015</v>
      </c>
      <c r="I133" s="229">
        <f ca="1">IF($B$132=$K$1,'Post-Transaction Fncl Sts'!I11,'Exit Analysis'!I133)</f>
        <v>66550.000000000015</v>
      </c>
      <c r="J133" s="229">
        <f ca="1">IF($B$132=$K$1,'Post-Transaction Fncl Sts'!J11,'Exit Analysis'!J133)</f>
        <v>73205.000000000029</v>
      </c>
      <c r="K133" s="229">
        <f ca="1">IF($B$132=$K$1,'Post-Transaction Fncl Sts'!K11,'Exit Analysis'!K133)</f>
        <v>80525.500000000044</v>
      </c>
    </row>
    <row r="134" spans="2:11" hidden="1" outlineLevel="2">
      <c r="C134" s="234" t="s">
        <v>137</v>
      </c>
      <c r="F134" s="229"/>
      <c r="G134" s="233">
        <f ca="1">G133/F133-1</f>
        <v>0.10000000000000009</v>
      </c>
      <c r="H134" s="233">
        <f ca="1">H133/G133-1</f>
        <v>0.10000000000000009</v>
      </c>
      <c r="I134" s="233">
        <f ca="1">I133/H133-1</f>
        <v>9.9999999999999867E-2</v>
      </c>
      <c r="J134" s="233">
        <f t="shared" ref="J134" ca="1" si="16">J133/I133-1</f>
        <v>0.10000000000000009</v>
      </c>
      <c r="K134" s="233">
        <f t="shared" ref="K134" ca="1" si="17">K133/J133-1</f>
        <v>0.10000000000000009</v>
      </c>
    </row>
    <row r="135" spans="2:11" hidden="1" outlineLevel="2">
      <c r="C135" s="228" t="s">
        <v>94</v>
      </c>
      <c r="F135" s="229">
        <f ca="1">IF($B$132=$K$1,'Post-Transaction Fncl Sts'!F14,'Exit Analysis'!F135)</f>
        <v>29383</v>
      </c>
      <c r="G135" s="229">
        <f ca="1">IF($B$132=$K$1,'Post-Transaction Fncl Sts'!G14,'Exit Analysis'!G135)</f>
        <v>32321.300000000003</v>
      </c>
      <c r="H135" s="229">
        <f ca="1">IF($B$132=$K$1,'Post-Transaction Fncl Sts'!H14,'Exit Analysis'!H135)</f>
        <v>35553.430000000008</v>
      </c>
      <c r="I135" s="229">
        <f ca="1">IF($B$132=$K$1,'Post-Transaction Fncl Sts'!I14,'Exit Analysis'!I135)</f>
        <v>39108.773000000008</v>
      </c>
      <c r="J135" s="229">
        <f ca="1">IF($B$132=$K$1,'Post-Transaction Fncl Sts'!J14,'Exit Analysis'!J135)</f>
        <v>43019.650300000023</v>
      </c>
      <c r="K135" s="229">
        <f ca="1">IF($B$132=$K$1,'Post-Transaction Fncl Sts'!K14,'Exit Analysis'!K135)</f>
        <v>47321.61533000003</v>
      </c>
    </row>
    <row r="136" spans="2:11" hidden="1" outlineLevel="2">
      <c r="C136" s="235" t="s">
        <v>135</v>
      </c>
      <c r="D136" s="236"/>
      <c r="E136" s="236"/>
      <c r="F136" s="237">
        <f ca="1">F133-F135</f>
        <v>20617</v>
      </c>
      <c r="G136" s="237">
        <f t="shared" ref="G136:K136" ca="1" si="18">G133-G135</f>
        <v>22678.700000000004</v>
      </c>
      <c r="H136" s="237">
        <f t="shared" ca="1" si="18"/>
        <v>24946.570000000007</v>
      </c>
      <c r="I136" s="237">
        <f t="shared" ca="1" si="18"/>
        <v>27441.227000000006</v>
      </c>
      <c r="J136" s="237">
        <f t="shared" ca="1" si="18"/>
        <v>30185.349700000006</v>
      </c>
      <c r="K136" s="237">
        <f t="shared" ca="1" si="18"/>
        <v>33203.884670000014</v>
      </c>
    </row>
    <row r="137" spans="2:11" hidden="1" outlineLevel="2">
      <c r="C137" s="234" t="s">
        <v>45</v>
      </c>
      <c r="F137" s="233">
        <f ca="1">F136/F133</f>
        <v>0.41233999999999998</v>
      </c>
      <c r="G137" s="233">
        <f t="shared" ref="G137:K137" ca="1" si="19">G136/G133</f>
        <v>0.41234000000000004</v>
      </c>
      <c r="H137" s="233">
        <f t="shared" ca="1" si="19"/>
        <v>0.41234000000000004</v>
      </c>
      <c r="I137" s="233">
        <f t="shared" ca="1" si="19"/>
        <v>0.41233999999999998</v>
      </c>
      <c r="J137" s="233">
        <f t="shared" ca="1" si="19"/>
        <v>0.41233999999999993</v>
      </c>
      <c r="K137" s="233">
        <f t="shared" ca="1" si="19"/>
        <v>0.41233999999999993</v>
      </c>
    </row>
    <row r="138" spans="2:11" hidden="1" outlineLevel="2">
      <c r="C138" s="228" t="s">
        <v>37</v>
      </c>
      <c r="F138" s="229">
        <f ca="1">IF($B$132=$K$1,'Post-Transaction Fncl Sts'!F20,'Exit Analysis'!F138)</f>
        <v>8595.36</v>
      </c>
      <c r="G138" s="229">
        <f ca="1">IF($B$132=$K$1,'Post-Transaction Fncl Sts'!G20,'Exit Analysis'!G138)</f>
        <v>9454.8960000000025</v>
      </c>
      <c r="H138" s="229">
        <f ca="1">IF($B$132=$K$1,'Post-Transaction Fncl Sts'!H20,'Exit Analysis'!H138)</f>
        <v>10400.385600000001</v>
      </c>
      <c r="I138" s="229">
        <f ca="1">IF($B$132=$K$1,'Post-Transaction Fncl Sts'!I20,'Exit Analysis'!I138)</f>
        <v>11440.42416</v>
      </c>
      <c r="J138" s="229">
        <f ca="1">IF($B$132=$K$1,'Post-Transaction Fncl Sts'!J20,'Exit Analysis'!J138)</f>
        <v>12584.46657600001</v>
      </c>
      <c r="K138" s="229">
        <f ca="1">IF($B$132=$K$1,'Post-Transaction Fncl Sts'!K20,'Exit Analysis'!K138)</f>
        <v>13842.913233600004</v>
      </c>
    </row>
    <row r="139" spans="2:11" hidden="1" outlineLevel="2">
      <c r="C139" s="235" t="s">
        <v>108</v>
      </c>
      <c r="D139" s="236"/>
      <c r="E139" s="236"/>
      <c r="F139" s="237">
        <f ca="1">F136-F138</f>
        <v>12021.64</v>
      </c>
      <c r="G139" s="237">
        <f t="shared" ref="G139:K139" ca="1" si="20">G136-G138</f>
        <v>13223.804000000002</v>
      </c>
      <c r="H139" s="237">
        <f t="shared" ca="1" si="20"/>
        <v>14546.184400000006</v>
      </c>
      <c r="I139" s="237">
        <f t="shared" ca="1" si="20"/>
        <v>16000.802840000006</v>
      </c>
      <c r="J139" s="237">
        <f t="shared" ca="1" si="20"/>
        <v>17600.883123999996</v>
      </c>
      <c r="K139" s="237">
        <f t="shared" ca="1" si="20"/>
        <v>19360.97143640001</v>
      </c>
    </row>
    <row r="140" spans="2:11" hidden="1" outlineLevel="2">
      <c r="C140" s="234" t="s">
        <v>45</v>
      </c>
      <c r="F140" s="233">
        <f ca="1">F139/F133</f>
        <v>0.2404328</v>
      </c>
      <c r="G140" s="233">
        <f t="shared" ref="G140:K140" ca="1" si="21">G139/G133</f>
        <v>0.2404328</v>
      </c>
      <c r="H140" s="233">
        <f t="shared" ca="1" si="21"/>
        <v>0.24043280000000003</v>
      </c>
      <c r="I140" s="233">
        <f t="shared" ca="1" si="21"/>
        <v>0.24043280000000003</v>
      </c>
      <c r="J140" s="233">
        <f t="shared" ca="1" si="21"/>
        <v>0.24043279999999986</v>
      </c>
      <c r="K140" s="233">
        <f t="shared" ca="1" si="21"/>
        <v>0.2404328</v>
      </c>
    </row>
    <row r="141" spans="2:11" ht="3" hidden="1" customHeight="1" outlineLevel="2">
      <c r="C141" s="228"/>
      <c r="F141" s="229"/>
      <c r="G141" s="229"/>
      <c r="H141" s="229"/>
      <c r="I141" s="229"/>
      <c r="J141" s="229"/>
      <c r="K141" s="229"/>
    </row>
    <row r="142" spans="2:11" hidden="1" outlineLevel="2">
      <c r="C142" s="228" t="s">
        <v>136</v>
      </c>
      <c r="F142" s="229">
        <f ca="1">IF($B$132=$K$1,'Post-Transaction Fncl Sts'!F48,'Exit Analysis'!F142)</f>
        <v>12021.64</v>
      </c>
      <c r="G142" s="229">
        <f ca="1">IF($B$132=$K$1,'Post-Transaction Fncl Sts'!G48,'Exit Analysis'!G142)</f>
        <v>13223.804000000002</v>
      </c>
      <c r="H142" s="229">
        <f ca="1">IF($B$132=$K$1,'Post-Transaction Fncl Sts'!H48,'Exit Analysis'!H142)</f>
        <v>14546.184400000006</v>
      </c>
      <c r="I142" s="229">
        <f ca="1">IF($B$132=$K$1,'Post-Transaction Fncl Sts'!I48,'Exit Analysis'!I142)</f>
        <v>16000.802840000006</v>
      </c>
      <c r="J142" s="229">
        <f ca="1">IF($B$132=$K$1,'Post-Transaction Fncl Sts'!J48,'Exit Analysis'!J142)</f>
        <v>17600.883123999996</v>
      </c>
      <c r="K142" s="229">
        <f ca="1">IF($B$132=$K$1,'Post-Transaction Fncl Sts'!K48,'Exit Analysis'!K142)</f>
        <v>19360.97143640001</v>
      </c>
    </row>
    <row r="143" spans="2:11" hidden="1" outlineLevel="2">
      <c r="C143" s="234" t="s">
        <v>45</v>
      </c>
      <c r="F143" s="233">
        <f t="shared" ref="F143:K143" ca="1" si="22">F142/F133</f>
        <v>0.2404328</v>
      </c>
      <c r="G143" s="233">
        <f t="shared" ca="1" si="22"/>
        <v>0.2404328</v>
      </c>
      <c r="H143" s="233">
        <f t="shared" ca="1" si="22"/>
        <v>0.24043280000000003</v>
      </c>
      <c r="I143" s="233">
        <f t="shared" ca="1" si="22"/>
        <v>0.24043280000000003</v>
      </c>
      <c r="J143" s="233">
        <f t="shared" ca="1" si="22"/>
        <v>0.24043279999999986</v>
      </c>
      <c r="K143" s="233">
        <f t="shared" ca="1" si="22"/>
        <v>0.2404328</v>
      </c>
    </row>
    <row r="144" spans="2:11" ht="3" hidden="1" customHeight="1" outlineLevel="2">
      <c r="F144" s="229"/>
      <c r="G144" s="229"/>
      <c r="H144" s="229"/>
      <c r="I144" s="229"/>
      <c r="J144" s="229"/>
      <c r="K144" s="229"/>
    </row>
    <row r="145" spans="2:11" hidden="1" outlineLevel="2">
      <c r="B145" s="240">
        <v>3</v>
      </c>
      <c r="C145" s="75"/>
      <c r="D145" s="75"/>
      <c r="E145" s="75"/>
      <c r="F145" s="238"/>
      <c r="G145" s="238"/>
      <c r="H145" s="238"/>
      <c r="I145" s="238"/>
      <c r="J145" s="238"/>
      <c r="K145" s="238"/>
    </row>
    <row r="146" spans="2:11" hidden="1" outlineLevel="2">
      <c r="B146" s="230"/>
      <c r="C146" s="228" t="s">
        <v>134</v>
      </c>
      <c r="F146" s="229">
        <f ca="1">IF($B$145=$K$1,'Post-Transaction Fncl Sts'!F11,'Exit Analysis'!F146)</f>
        <v>50000</v>
      </c>
      <c r="G146" s="229">
        <f ca="1">IF($B$145=$K$1,'Post-Transaction Fncl Sts'!G11,'Exit Analysis'!G146)</f>
        <v>60000</v>
      </c>
      <c r="H146" s="229">
        <f ca="1">IF($B$145=$K$1,'Post-Transaction Fncl Sts'!H11,'Exit Analysis'!H146)</f>
        <v>72000</v>
      </c>
      <c r="I146" s="229">
        <f ca="1">IF($B$145=$K$1,'Post-Transaction Fncl Sts'!I11,'Exit Analysis'!I146)</f>
        <v>86400</v>
      </c>
      <c r="J146" s="229">
        <f ca="1">IF($B$145=$K$1,'Post-Transaction Fncl Sts'!J11,'Exit Analysis'!J146)</f>
        <v>103680</v>
      </c>
      <c r="K146" s="229">
        <f ca="1">IF($B$145=$K$1,'Post-Transaction Fncl Sts'!K11,'Exit Analysis'!K146)</f>
        <v>124416</v>
      </c>
    </row>
    <row r="147" spans="2:11" hidden="1" outlineLevel="2">
      <c r="B147" s="230"/>
      <c r="C147" s="234" t="s">
        <v>137</v>
      </c>
      <c r="F147" s="229"/>
      <c r="G147" s="233">
        <f ca="1">G146/F146-1</f>
        <v>0.19999999999999996</v>
      </c>
      <c r="H147" s="233">
        <f ca="1">H146/G146-1</f>
        <v>0.19999999999999996</v>
      </c>
      <c r="I147" s="233">
        <f ca="1">I146/H146-1</f>
        <v>0.19999999999999996</v>
      </c>
      <c r="J147" s="233">
        <f t="shared" ref="J147" ca="1" si="23">J146/I146-1</f>
        <v>0.19999999999999996</v>
      </c>
      <c r="K147" s="233">
        <f t="shared" ref="K147" ca="1" si="24">K146/J146-1</f>
        <v>0.19999999999999996</v>
      </c>
    </row>
    <row r="148" spans="2:11" hidden="1" outlineLevel="2">
      <c r="C148" s="228" t="s">
        <v>94</v>
      </c>
      <c r="F148" s="229">
        <f ca="1">IF($B$145=$K$1,'Post-Transaction Fncl Sts'!F14,'Exit Analysis'!F148)</f>
        <v>29383</v>
      </c>
      <c r="G148" s="229">
        <f ca="1">IF($B$145=$K$1,'Post-Transaction Fncl Sts'!G14,'Exit Analysis'!G148)</f>
        <v>35259.599999999999</v>
      </c>
      <c r="H148" s="229">
        <f ca="1">IF($B$145=$K$1,'Post-Transaction Fncl Sts'!H14,'Exit Analysis'!H148)</f>
        <v>42311.519999999997</v>
      </c>
      <c r="I148" s="229">
        <f ca="1">IF($B$145=$K$1,'Post-Transaction Fncl Sts'!I14,'Exit Analysis'!I148)</f>
        <v>50773.823999999993</v>
      </c>
      <c r="J148" s="229">
        <f ca="1">IF($B$145=$K$1,'Post-Transaction Fncl Sts'!J14,'Exit Analysis'!J148)</f>
        <v>60928.588800000005</v>
      </c>
      <c r="K148" s="229">
        <f ca="1">IF($B$145=$K$1,'Post-Transaction Fncl Sts'!K14,'Exit Analysis'!K148)</f>
        <v>73114.306560000012</v>
      </c>
    </row>
    <row r="149" spans="2:11" hidden="1" outlineLevel="2">
      <c r="C149" s="235" t="s">
        <v>135</v>
      </c>
      <c r="D149" s="236"/>
      <c r="E149" s="236"/>
      <c r="F149" s="237">
        <f ca="1">F146-F148</f>
        <v>20617</v>
      </c>
      <c r="G149" s="237">
        <f t="shared" ref="G149:K149" ca="1" si="25">G146-G148</f>
        <v>24740.400000000001</v>
      </c>
      <c r="H149" s="237">
        <f t="shared" ca="1" si="25"/>
        <v>29688.480000000003</v>
      </c>
      <c r="I149" s="237">
        <f t="shared" ca="1" si="25"/>
        <v>35626.176000000007</v>
      </c>
      <c r="J149" s="237">
        <f t="shared" ca="1" si="25"/>
        <v>42751.411199999995</v>
      </c>
      <c r="K149" s="237">
        <f t="shared" ca="1" si="25"/>
        <v>51301.693439999988</v>
      </c>
    </row>
    <row r="150" spans="2:11" hidden="1" outlineLevel="2">
      <c r="C150" s="234" t="s">
        <v>45</v>
      </c>
      <c r="F150" s="233">
        <f ca="1">F149/F146</f>
        <v>0.41233999999999998</v>
      </c>
      <c r="G150" s="233">
        <f t="shared" ref="G150:K150" ca="1" si="26">G149/G146</f>
        <v>0.41234000000000004</v>
      </c>
      <c r="H150" s="233">
        <f t="shared" ca="1" si="26"/>
        <v>0.41234000000000004</v>
      </c>
      <c r="I150" s="233">
        <f t="shared" ca="1" si="26"/>
        <v>0.4123400000000001</v>
      </c>
      <c r="J150" s="233">
        <f t="shared" ca="1" si="26"/>
        <v>0.41233999999999993</v>
      </c>
      <c r="K150" s="233">
        <f t="shared" ca="1" si="26"/>
        <v>0.41233999999999993</v>
      </c>
    </row>
    <row r="151" spans="2:11" hidden="1" outlineLevel="2">
      <c r="C151" s="228" t="s">
        <v>37</v>
      </c>
      <c r="F151" s="229">
        <f ca="1">IF($B$145=$K$1,'Post-Transaction Fncl Sts'!F20,'Exit Analysis'!F151)</f>
        <v>8595.36</v>
      </c>
      <c r="G151" s="229">
        <f ca="1">IF($B$145=$K$1,'Post-Transaction Fncl Sts'!G20,'Exit Analysis'!G151)</f>
        <v>10314.432000000001</v>
      </c>
      <c r="H151" s="229">
        <f ca="1">IF($B$145=$K$1,'Post-Transaction Fncl Sts'!H20,'Exit Analysis'!H151)</f>
        <v>12377.318399999998</v>
      </c>
      <c r="I151" s="229">
        <f ca="1">IF($B$145=$K$1,'Post-Transaction Fncl Sts'!I20,'Exit Analysis'!I151)</f>
        <v>14852.782079999999</v>
      </c>
      <c r="J151" s="229">
        <f ca="1">IF($B$145=$K$1,'Post-Transaction Fncl Sts'!J20,'Exit Analysis'!J151)</f>
        <v>17823.338496000008</v>
      </c>
      <c r="K151" s="229">
        <f ca="1">IF($B$145=$K$1,'Post-Transaction Fncl Sts'!K20,'Exit Analysis'!K151)</f>
        <v>21388.006195199996</v>
      </c>
    </row>
    <row r="152" spans="2:11" hidden="1" outlineLevel="2">
      <c r="C152" s="235" t="s">
        <v>108</v>
      </c>
      <c r="D152" s="236"/>
      <c r="E152" s="236"/>
      <c r="F152" s="237">
        <f ca="1">F149-F151</f>
        <v>12021.64</v>
      </c>
      <c r="G152" s="237">
        <f t="shared" ref="G152:K152" ca="1" si="27">G149-G151</f>
        <v>14425.968000000001</v>
      </c>
      <c r="H152" s="237">
        <f t="shared" ca="1" si="27"/>
        <v>17311.161600000007</v>
      </c>
      <c r="I152" s="237">
        <f t="shared" ca="1" si="27"/>
        <v>20773.39392000001</v>
      </c>
      <c r="J152" s="237">
        <f t="shared" ca="1" si="27"/>
        <v>24928.072703999987</v>
      </c>
      <c r="K152" s="237">
        <f t="shared" ca="1" si="27"/>
        <v>29913.687244799992</v>
      </c>
    </row>
    <row r="153" spans="2:11" hidden="1" outlineLevel="2">
      <c r="C153" s="234" t="s">
        <v>45</v>
      </c>
      <c r="F153" s="233">
        <f ca="1">F152/F146</f>
        <v>0.2404328</v>
      </c>
      <c r="G153" s="233">
        <f t="shared" ref="G153:K153" ca="1" si="28">G152/G146</f>
        <v>0.2404328</v>
      </c>
      <c r="H153" s="233">
        <f t="shared" ca="1" si="28"/>
        <v>0.24043280000000009</v>
      </c>
      <c r="I153" s="233">
        <f t="shared" ca="1" si="28"/>
        <v>0.24043280000000011</v>
      </c>
      <c r="J153" s="233">
        <f t="shared" ca="1" si="28"/>
        <v>0.24043279999999989</v>
      </c>
      <c r="K153" s="233">
        <f t="shared" ca="1" si="28"/>
        <v>0.24043279999999995</v>
      </c>
    </row>
    <row r="154" spans="2:11" ht="3" hidden="1" customHeight="1" outlineLevel="2">
      <c r="C154" s="228"/>
      <c r="F154" s="229"/>
      <c r="G154" s="229"/>
      <c r="H154" s="229"/>
      <c r="I154" s="229"/>
      <c r="J154" s="229"/>
      <c r="K154" s="229"/>
    </row>
    <row r="155" spans="2:11" hidden="1" outlineLevel="2">
      <c r="C155" s="228" t="s">
        <v>136</v>
      </c>
      <c r="F155" s="229">
        <f ca="1">IF($B$145=$K$1,'Post-Transaction Fncl Sts'!F48,'Exit Analysis'!F155)</f>
        <v>12021.64</v>
      </c>
      <c r="G155" s="229">
        <f ca="1">IF($B$145=$K$1,'Post-Transaction Fncl Sts'!G48,'Exit Analysis'!G155)</f>
        <v>14425.968000000001</v>
      </c>
      <c r="H155" s="229">
        <f ca="1">IF($B$145=$K$1,'Post-Transaction Fncl Sts'!H48,'Exit Analysis'!H155)</f>
        <v>17311.161600000007</v>
      </c>
      <c r="I155" s="229">
        <f ca="1">IF($B$145=$K$1,'Post-Transaction Fncl Sts'!I48,'Exit Analysis'!I155)</f>
        <v>20773.39392000001</v>
      </c>
      <c r="J155" s="229">
        <f ca="1">IF($B$145=$K$1,'Post-Transaction Fncl Sts'!J48,'Exit Analysis'!J155)</f>
        <v>24928.072703999987</v>
      </c>
      <c r="K155" s="229">
        <f ca="1">IF($B$145=$K$1,'Post-Transaction Fncl Sts'!K48,'Exit Analysis'!K155)</f>
        <v>29913.687244799992</v>
      </c>
    </row>
    <row r="156" spans="2:11" hidden="1" outlineLevel="2">
      <c r="C156" s="234" t="s">
        <v>45</v>
      </c>
      <c r="F156" s="233">
        <f t="shared" ref="F156:K156" ca="1" si="29">F155/F146</f>
        <v>0.2404328</v>
      </c>
      <c r="G156" s="233">
        <f t="shared" ca="1" si="29"/>
        <v>0.2404328</v>
      </c>
      <c r="H156" s="233">
        <f t="shared" ca="1" si="29"/>
        <v>0.24043280000000009</v>
      </c>
      <c r="I156" s="233">
        <f t="shared" ca="1" si="29"/>
        <v>0.24043280000000011</v>
      </c>
      <c r="J156" s="233">
        <f t="shared" ca="1" si="29"/>
        <v>0.24043279999999989</v>
      </c>
      <c r="K156" s="233">
        <f t="shared" ca="1" si="29"/>
        <v>0.24043279999999995</v>
      </c>
    </row>
    <row r="157" spans="2:11" ht="3" hidden="1" customHeight="1" outlineLevel="2">
      <c r="B157" s="63"/>
      <c r="C157" s="63"/>
      <c r="D157" s="63"/>
      <c r="E157" s="63"/>
      <c r="F157" s="64"/>
      <c r="G157" s="65"/>
      <c r="H157" s="65"/>
      <c r="I157" s="65"/>
      <c r="J157" s="65"/>
      <c r="K157" s="65"/>
    </row>
    <row r="158" spans="2:11" outlineLevel="1" collapsed="1"/>
  </sheetData>
  <mergeCells count="2">
    <mergeCell ref="C103:C105"/>
    <mergeCell ref="C110:C112"/>
  </mergeCells>
  <conditionalFormatting sqref="F116">
    <cfRule type="expression" dxfId="3" priority="1">
      <formula>"$K$9=""Y"""</formula>
    </cfRule>
  </conditionalFormatting>
  <printOptions horizontalCentered="1"/>
  <pageMargins left="0.7" right="0.7" top="0.75" bottom="0.75" header="0.3" footer="0.3"/>
  <pageSetup paperSize="5" scale="64" fitToHeight="4" orientation="landscape" r:id="rId1"/>
  <headerFooter>
    <oddHeader>&amp;F</oddHeader>
    <oddFooter>&amp;L&amp;"Trebuchet MS,Bold" Confidential&amp;C&amp;D @ &amp;T&amp;RPage &amp;P</oddFooter>
  </headerFooter>
  <rowBreaks count="1" manualBreakCount="1">
    <brk id="97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6"/>
  <sheetViews>
    <sheetView showGridLines="0"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" defaultRowHeight="14.25" outlineLevelRow="1" outlineLevelCol="1"/>
  <cols>
    <col min="1" max="1" width="1.59765625" style="28" customWidth="1"/>
    <col min="2" max="2" width="39.86328125" style="4" bestFit="1" customWidth="1"/>
    <col min="3" max="3" width="4.59765625" style="4" customWidth="1"/>
    <col min="4" max="12" width="15.59765625" style="4" customWidth="1"/>
    <col min="13" max="13" width="1.59765625" style="25" customWidth="1" outlineLevel="1"/>
    <col min="14" max="14" width="15.59765625" style="4" customWidth="1" outlineLevel="1"/>
    <col min="15" max="15" width="1.59765625" style="4" customWidth="1" outlineLevel="1"/>
    <col min="16" max="17" width="18.265625" style="4" customWidth="1" outlineLevel="1"/>
    <col min="18" max="18" width="1.59765625" style="4" customWidth="1" outlineLevel="1"/>
    <col min="19" max="19" width="15.59765625" style="4" customWidth="1"/>
    <col min="20" max="20" width="9" style="4"/>
    <col min="21" max="21" width="18.1328125" style="4" customWidth="1"/>
    <col min="22" max="16384" width="9" style="4"/>
  </cols>
  <sheetData>
    <row r="1" spans="1:19">
      <c r="B1" s="16" t="str">
        <f>'Sources &amp; Uses'!B1</f>
        <v>COMPANY</v>
      </c>
      <c r="C1" s="98"/>
      <c r="D1" s="275"/>
      <c r="E1" s="275"/>
      <c r="F1" s="223"/>
      <c r="G1" s="223"/>
      <c r="M1" s="208"/>
      <c r="N1" s="98"/>
      <c r="O1" s="98"/>
      <c r="P1" s="98"/>
      <c r="R1" s="98"/>
    </row>
    <row r="2" spans="1:19">
      <c r="B2" s="16" t="s">
        <v>47</v>
      </c>
      <c r="C2" s="16"/>
      <c r="D2" s="16"/>
      <c r="E2" s="16"/>
      <c r="M2" s="208"/>
      <c r="N2" s="16"/>
      <c r="O2" s="16"/>
      <c r="P2" s="16"/>
      <c r="R2" s="16"/>
    </row>
    <row r="3" spans="1:19" ht="2.1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  <c r="P3" s="17"/>
      <c r="Q3" s="17"/>
      <c r="R3" s="17"/>
      <c r="S3" s="17"/>
    </row>
    <row r="4" spans="1:19" ht="15" customHeight="1">
      <c r="A4" s="252"/>
      <c r="B4" s="285">
        <f>'Exit Analysis'!K1</f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N4" s="15"/>
      <c r="O4" s="15"/>
      <c r="P4" s="15"/>
      <c r="Q4" s="15"/>
      <c r="R4" s="15"/>
      <c r="S4" s="15"/>
    </row>
    <row r="5" spans="1:19">
      <c r="A5" s="418"/>
      <c r="F5" s="24"/>
      <c r="G5" s="108" t="s">
        <v>4</v>
      </c>
      <c r="H5" s="108"/>
      <c r="I5" s="108"/>
      <c r="J5" s="108"/>
      <c r="K5" s="108"/>
    </row>
    <row r="6" spans="1:19">
      <c r="A6" s="418"/>
      <c r="D6" s="106" t="str">
        <f>E6</f>
        <v>Historical</v>
      </c>
      <c r="E6" s="112" t="s">
        <v>83</v>
      </c>
      <c r="F6" s="251" t="s">
        <v>148</v>
      </c>
      <c r="G6" s="255">
        <v>1</v>
      </c>
      <c r="H6" s="135">
        <f>G6+1</f>
        <v>2</v>
      </c>
      <c r="I6" s="135">
        <f t="shared" ref="I6:L6" si="0">H6+1</f>
        <v>3</v>
      </c>
      <c r="J6" s="135">
        <f t="shared" si="0"/>
        <v>4</v>
      </c>
      <c r="K6" s="135">
        <f t="shared" si="0"/>
        <v>5</v>
      </c>
      <c r="L6" s="297">
        <f t="shared" si="0"/>
        <v>6</v>
      </c>
    </row>
    <row r="7" spans="1:19">
      <c r="A7" s="252"/>
      <c r="D7" s="298">
        <f t="shared" ref="D7:L7" si="1">YEAR(D8)</f>
        <v>2015</v>
      </c>
      <c r="E7" s="256">
        <f t="shared" si="1"/>
        <v>2016</v>
      </c>
      <c r="F7" s="295">
        <f t="shared" si="1"/>
        <v>2017</v>
      </c>
      <c r="G7" s="256">
        <f t="shared" si="1"/>
        <v>2018</v>
      </c>
      <c r="H7" s="256">
        <f t="shared" si="1"/>
        <v>2019</v>
      </c>
      <c r="I7" s="256">
        <f t="shared" si="1"/>
        <v>2020</v>
      </c>
      <c r="J7" s="256">
        <f t="shared" si="1"/>
        <v>2021</v>
      </c>
      <c r="K7" s="256">
        <f t="shared" si="1"/>
        <v>2022</v>
      </c>
      <c r="L7" s="299">
        <f t="shared" si="1"/>
        <v>2023</v>
      </c>
      <c r="N7" s="323"/>
    </row>
    <row r="8" spans="1:19">
      <c r="A8" s="252"/>
      <c r="C8" s="120"/>
      <c r="D8" s="142">
        <f>DATE(YEAR(E8)-1,MONTH(E8),DAY(E8))</f>
        <v>42369</v>
      </c>
      <c r="E8" s="294">
        <v>42735</v>
      </c>
      <c r="F8" s="212">
        <v>43100</v>
      </c>
      <c r="G8" s="296">
        <v>43465</v>
      </c>
      <c r="H8" s="143">
        <f t="shared" ref="H8:L8" si="2">DATE(YEAR(G8)+1,MONTH(G8),DAY(G8))</f>
        <v>43830</v>
      </c>
      <c r="I8" s="143">
        <f t="shared" si="2"/>
        <v>44196</v>
      </c>
      <c r="J8" s="143">
        <f t="shared" si="2"/>
        <v>44561</v>
      </c>
      <c r="K8" s="143">
        <f t="shared" si="2"/>
        <v>44926</v>
      </c>
      <c r="L8" s="300">
        <f t="shared" si="2"/>
        <v>45291</v>
      </c>
      <c r="N8" s="323"/>
      <c r="R8" s="176"/>
    </row>
    <row r="9" spans="1:19">
      <c r="A9" s="252"/>
      <c r="D9" s="144">
        <f>E9</f>
        <v>12</v>
      </c>
      <c r="E9" s="145">
        <f t="shared" ref="E9" si="3">DAYS360(D8,E8)/30</f>
        <v>12</v>
      </c>
      <c r="F9" s="147">
        <f>DAYS360(E8,F8)/30</f>
        <v>12</v>
      </c>
      <c r="G9" s="145">
        <f>IF(MONTH(F8)=12,12,DAYS360(F8,G8)/30)</f>
        <v>12</v>
      </c>
      <c r="H9" s="145">
        <f t="shared" ref="H9:L9" si="4">DAYS360(G8,H8)/30</f>
        <v>12</v>
      </c>
      <c r="I9" s="145">
        <f t="shared" si="4"/>
        <v>12</v>
      </c>
      <c r="J9" s="145">
        <f t="shared" si="4"/>
        <v>12</v>
      </c>
      <c r="K9" s="145">
        <f t="shared" si="4"/>
        <v>12</v>
      </c>
      <c r="L9" s="146">
        <f t="shared" si="4"/>
        <v>12</v>
      </c>
    </row>
    <row r="10" spans="1:19">
      <c r="A10" s="252"/>
      <c r="C10" s="162"/>
      <c r="F10" s="79"/>
      <c r="G10" s="24"/>
    </row>
    <row r="11" spans="1:19">
      <c r="A11" s="421"/>
      <c r="B11" s="16" t="s">
        <v>184</v>
      </c>
      <c r="C11" s="277"/>
      <c r="D11" s="429">
        <v>50000</v>
      </c>
      <c r="E11" s="429">
        <v>50000</v>
      </c>
      <c r="F11" s="429">
        <v>50000</v>
      </c>
      <c r="G11" s="442">
        <f>F11*(1+G12)</f>
        <v>52500</v>
      </c>
      <c r="H11" s="442">
        <f t="shared" ref="H11:L11" si="5">G11*(1+H12)</f>
        <v>55125</v>
      </c>
      <c r="I11" s="442">
        <f t="shared" si="5"/>
        <v>57881.25</v>
      </c>
      <c r="J11" s="442">
        <f t="shared" si="5"/>
        <v>60775.3125</v>
      </c>
      <c r="K11" s="442">
        <f t="shared" si="5"/>
        <v>63814.078125</v>
      </c>
      <c r="L11" s="442">
        <f t="shared" si="5"/>
        <v>67004.782031249997</v>
      </c>
      <c r="N11" s="259"/>
      <c r="O11" s="25"/>
      <c r="P11" s="152"/>
    </row>
    <row r="12" spans="1:19">
      <c r="A12" s="421"/>
      <c r="B12" s="27" t="s">
        <v>46</v>
      </c>
      <c r="C12" s="102"/>
      <c r="D12" s="78" t="s">
        <v>113</v>
      </c>
      <c r="E12" s="78">
        <f>E11/D11-1</f>
        <v>0</v>
      </c>
      <c r="F12" s="78">
        <f>IF(F9&lt;&gt;12,"NM",F11/E11-1)</f>
        <v>0</v>
      </c>
      <c r="G12" s="78">
        <f>'IS Scenarios'!D11</f>
        <v>0.05</v>
      </c>
      <c r="H12" s="78">
        <f>'IS Scenarios'!E11</f>
        <v>0.05</v>
      </c>
      <c r="I12" s="78">
        <f>'IS Scenarios'!F11</f>
        <v>0.05</v>
      </c>
      <c r="J12" s="78">
        <f>'IS Scenarios'!G11</f>
        <v>0.05</v>
      </c>
      <c r="K12" s="78">
        <f>'IS Scenarios'!H11</f>
        <v>0.05</v>
      </c>
      <c r="L12" s="78">
        <f>'IS Scenarios'!I11</f>
        <v>0.05</v>
      </c>
      <c r="M12" s="210"/>
      <c r="N12" s="78"/>
      <c r="O12" s="210"/>
      <c r="P12" s="152"/>
      <c r="R12" s="27"/>
    </row>
    <row r="13" spans="1:19" ht="5.0999999999999996" customHeight="1">
      <c r="A13" s="252"/>
      <c r="B13" s="27"/>
      <c r="C13" s="102"/>
      <c r="D13" s="27"/>
      <c r="E13" s="27"/>
      <c r="F13" s="78"/>
      <c r="G13" s="78"/>
      <c r="H13" s="26"/>
      <c r="I13" s="26"/>
      <c r="J13" s="26"/>
      <c r="K13" s="26"/>
      <c r="M13" s="210"/>
      <c r="N13" s="78"/>
      <c r="O13" s="210"/>
      <c r="P13" s="152"/>
      <c r="R13" s="27"/>
    </row>
    <row r="14" spans="1:19">
      <c r="A14" s="421"/>
      <c r="B14" s="98" t="s">
        <v>151</v>
      </c>
      <c r="C14" s="356"/>
      <c r="D14" s="429">
        <v>29383</v>
      </c>
      <c r="E14" s="429">
        <v>29383</v>
      </c>
      <c r="F14" s="429">
        <v>29383</v>
      </c>
      <c r="G14" s="442">
        <f>G11*G15</f>
        <v>30852.149999999998</v>
      </c>
      <c r="H14" s="442">
        <f t="shared" ref="H14:L14" si="6">H11*H15</f>
        <v>32394.757499999996</v>
      </c>
      <c r="I14" s="442">
        <f t="shared" si="6"/>
        <v>34014.495374999999</v>
      </c>
      <c r="J14" s="442">
        <f t="shared" si="6"/>
        <v>35715.220143750004</v>
      </c>
      <c r="K14" s="442">
        <f t="shared" si="6"/>
        <v>37500.981150937507</v>
      </c>
      <c r="L14" s="442">
        <f t="shared" si="6"/>
        <v>39376.030208484372</v>
      </c>
      <c r="N14" s="348"/>
      <c r="O14" s="25"/>
      <c r="P14" s="152"/>
    </row>
    <row r="15" spans="1:19" s="100" customFormat="1">
      <c r="A15" s="421"/>
      <c r="B15" s="101" t="s">
        <v>45</v>
      </c>
      <c r="C15" s="102"/>
      <c r="D15" s="73">
        <f t="shared" ref="D15:F15" si="7">D14/D11</f>
        <v>0.58765999999999996</v>
      </c>
      <c r="E15" s="73">
        <f t="shared" si="7"/>
        <v>0.58765999999999996</v>
      </c>
      <c r="F15" s="73">
        <f t="shared" si="7"/>
        <v>0.58765999999999996</v>
      </c>
      <c r="G15" s="73">
        <f>'IS Scenarios'!D17</f>
        <v>0.58765999999999996</v>
      </c>
      <c r="H15" s="73">
        <f>'IS Scenarios'!E17</f>
        <v>0.58765999999999996</v>
      </c>
      <c r="I15" s="73">
        <f>'IS Scenarios'!F17</f>
        <v>0.58765999999999996</v>
      </c>
      <c r="J15" s="73">
        <f>'IS Scenarios'!G17</f>
        <v>0.58766000000000007</v>
      </c>
      <c r="K15" s="73">
        <f>'IS Scenarios'!H17</f>
        <v>0.58766000000000007</v>
      </c>
      <c r="L15" s="73">
        <f>'IS Scenarios'!I17</f>
        <v>0.58765999999999996</v>
      </c>
      <c r="M15" s="210"/>
      <c r="N15" s="73"/>
      <c r="O15" s="210"/>
      <c r="P15" s="152"/>
      <c r="R15" s="101"/>
    </row>
    <row r="16" spans="1:19" s="100" customFormat="1" ht="5.0999999999999996" customHeight="1">
      <c r="A16" s="252"/>
      <c r="B16" s="210"/>
      <c r="C16" s="102"/>
      <c r="D16" s="73"/>
      <c r="E16" s="73"/>
      <c r="F16" s="73"/>
      <c r="G16" s="73"/>
      <c r="H16" s="73"/>
      <c r="I16" s="73"/>
      <c r="J16" s="73"/>
      <c r="K16" s="73"/>
      <c r="L16" s="73"/>
      <c r="M16" s="210"/>
      <c r="N16" s="73"/>
      <c r="O16" s="210"/>
      <c r="P16" s="152"/>
      <c r="R16" s="101"/>
    </row>
    <row r="17" spans="1:18">
      <c r="A17" s="252"/>
      <c r="B17" s="208" t="s">
        <v>36</v>
      </c>
      <c r="C17" s="276"/>
      <c r="D17" s="261">
        <f t="shared" ref="D17:L17" si="8">D11-D14</f>
        <v>20617</v>
      </c>
      <c r="E17" s="261">
        <f t="shared" si="8"/>
        <v>20617</v>
      </c>
      <c r="F17" s="261">
        <f t="shared" si="8"/>
        <v>20617</v>
      </c>
      <c r="G17" s="261">
        <f t="shared" si="8"/>
        <v>21647.850000000002</v>
      </c>
      <c r="H17" s="261">
        <f t="shared" si="8"/>
        <v>22730.242500000004</v>
      </c>
      <c r="I17" s="261">
        <f t="shared" si="8"/>
        <v>23866.754625000001</v>
      </c>
      <c r="J17" s="261">
        <f t="shared" si="8"/>
        <v>25060.092356249996</v>
      </c>
      <c r="K17" s="261">
        <f t="shared" si="8"/>
        <v>26313.096974062493</v>
      </c>
      <c r="L17" s="261">
        <f t="shared" si="8"/>
        <v>27628.751822765626</v>
      </c>
      <c r="N17" s="261"/>
      <c r="O17" s="25"/>
      <c r="P17" s="152"/>
    </row>
    <row r="18" spans="1:18">
      <c r="A18" s="252"/>
      <c r="B18" s="210" t="s">
        <v>45</v>
      </c>
      <c r="C18" s="102"/>
      <c r="D18" s="73">
        <f t="shared" ref="D18:L18" si="9">D17/D11</f>
        <v>0.41233999999999998</v>
      </c>
      <c r="E18" s="73">
        <f t="shared" si="9"/>
        <v>0.41233999999999998</v>
      </c>
      <c r="F18" s="73">
        <f t="shared" si="9"/>
        <v>0.41233999999999998</v>
      </c>
      <c r="G18" s="73">
        <f t="shared" si="9"/>
        <v>0.41234000000000004</v>
      </c>
      <c r="H18" s="73">
        <f t="shared" si="9"/>
        <v>0.4123400000000001</v>
      </c>
      <c r="I18" s="73">
        <f t="shared" si="9"/>
        <v>0.41234000000000004</v>
      </c>
      <c r="J18" s="73">
        <f t="shared" si="9"/>
        <v>0.41233999999999993</v>
      </c>
      <c r="K18" s="73">
        <f t="shared" si="9"/>
        <v>0.41233999999999987</v>
      </c>
      <c r="L18" s="73">
        <f t="shared" si="9"/>
        <v>0.41234000000000004</v>
      </c>
      <c r="M18" s="210"/>
      <c r="N18" s="73"/>
      <c r="O18" s="210"/>
      <c r="P18" s="152"/>
      <c r="R18" s="27"/>
    </row>
    <row r="19" spans="1:18" ht="5.0999999999999996" customHeight="1">
      <c r="A19" s="252"/>
      <c r="B19" s="210"/>
      <c r="C19" s="102"/>
      <c r="D19" s="357"/>
      <c r="E19" s="357"/>
      <c r="F19" s="73"/>
      <c r="G19" s="73"/>
      <c r="H19" s="73"/>
      <c r="I19" s="73"/>
      <c r="J19" s="73"/>
      <c r="K19" s="73"/>
      <c r="L19" s="73"/>
      <c r="M19" s="210"/>
      <c r="N19" s="73"/>
      <c r="O19" s="210"/>
      <c r="P19" s="152"/>
      <c r="R19" s="27"/>
    </row>
    <row r="20" spans="1:18">
      <c r="A20" s="421"/>
      <c r="B20" s="208" t="s">
        <v>152</v>
      </c>
      <c r="C20" s="356"/>
      <c r="D20" s="429">
        <v>8595.36</v>
      </c>
      <c r="E20" s="429">
        <v>8595.36</v>
      </c>
      <c r="F20" s="429">
        <v>8595.36</v>
      </c>
      <c r="G20" s="442">
        <f>G11*G21</f>
        <v>9025.1280000000006</v>
      </c>
      <c r="H20" s="442">
        <f t="shared" ref="H20:L20" si="10">H11*H21</f>
        <v>9476.384399999999</v>
      </c>
      <c r="I20" s="442">
        <f t="shared" si="10"/>
        <v>9950.2036199999984</v>
      </c>
      <c r="J20" s="442">
        <f t="shared" si="10"/>
        <v>10447.713801000004</v>
      </c>
      <c r="K20" s="442">
        <f t="shared" si="10"/>
        <v>10970.099491049998</v>
      </c>
      <c r="L20" s="442">
        <f t="shared" si="10"/>
        <v>11518.604465602504</v>
      </c>
      <c r="N20" s="257"/>
      <c r="O20" s="25"/>
      <c r="P20" s="152"/>
    </row>
    <row r="21" spans="1:18">
      <c r="A21" s="421"/>
      <c r="B21" s="101" t="s">
        <v>45</v>
      </c>
      <c r="C21" s="102"/>
      <c r="D21" s="73">
        <f t="shared" ref="D21:F21" si="11">D20/D11</f>
        <v>0.17190720000000001</v>
      </c>
      <c r="E21" s="73">
        <f t="shared" si="11"/>
        <v>0.17190720000000001</v>
      </c>
      <c r="F21" s="73">
        <f t="shared" si="11"/>
        <v>0.17190720000000001</v>
      </c>
      <c r="G21" s="443">
        <f>'IS Scenarios'!D23</f>
        <v>0.17190720000000001</v>
      </c>
      <c r="H21" s="443">
        <f>'IS Scenarios'!E23</f>
        <v>0.17190719999999998</v>
      </c>
      <c r="I21" s="443">
        <f>'IS Scenarios'!F23</f>
        <v>0.17190719999999998</v>
      </c>
      <c r="J21" s="443">
        <f>'IS Scenarios'!G23</f>
        <v>0.17190720000000007</v>
      </c>
      <c r="K21" s="443">
        <f>'IS Scenarios'!H23</f>
        <v>0.17190719999999995</v>
      </c>
      <c r="L21" s="443">
        <f>'IS Scenarios'!I23</f>
        <v>0.17190720000000007</v>
      </c>
      <c r="M21" s="210"/>
      <c r="N21" s="73"/>
      <c r="O21" s="210"/>
      <c r="P21" s="152"/>
      <c r="R21" s="27"/>
    </row>
    <row r="22" spans="1:18" ht="5.0999999999999996" customHeight="1">
      <c r="A22" s="252"/>
      <c r="B22" s="27"/>
      <c r="C22" s="102"/>
      <c r="D22" s="73"/>
      <c r="E22" s="73"/>
      <c r="F22" s="73"/>
      <c r="G22" s="73"/>
      <c r="H22" s="73"/>
      <c r="I22" s="73"/>
      <c r="J22" s="73"/>
      <c r="K22" s="73"/>
      <c r="L22" s="73"/>
      <c r="M22" s="210"/>
      <c r="N22" s="73"/>
      <c r="O22" s="210"/>
      <c r="P22" s="152"/>
      <c r="R22" s="27"/>
    </row>
    <row r="23" spans="1:18" s="24" customFormat="1">
      <c r="A23" s="252"/>
      <c r="B23" s="208" t="s">
        <v>70</v>
      </c>
      <c r="C23" s="261"/>
      <c r="D23" s="261">
        <f>D17-D20</f>
        <v>12021.64</v>
      </c>
      <c r="E23" s="261">
        <f t="shared" ref="E23:L23" si="12">E17-E20</f>
        <v>12021.64</v>
      </c>
      <c r="F23" s="261">
        <f t="shared" si="12"/>
        <v>12021.64</v>
      </c>
      <c r="G23" s="261">
        <f t="shared" si="12"/>
        <v>12622.722000000002</v>
      </c>
      <c r="H23" s="261">
        <f t="shared" si="12"/>
        <v>13253.858100000005</v>
      </c>
      <c r="I23" s="261">
        <f t="shared" si="12"/>
        <v>13916.551005000003</v>
      </c>
      <c r="J23" s="261">
        <f t="shared" si="12"/>
        <v>14612.378555249992</v>
      </c>
      <c r="K23" s="261">
        <f t="shared" si="12"/>
        <v>15342.997483012496</v>
      </c>
      <c r="L23" s="261">
        <f t="shared" si="12"/>
        <v>16110.147357163121</v>
      </c>
      <c r="M23" s="81"/>
      <c r="N23" s="261"/>
      <c r="O23" s="81"/>
      <c r="P23" s="152"/>
      <c r="R23" s="81"/>
    </row>
    <row r="24" spans="1:18" s="24" customFormat="1">
      <c r="A24" s="252"/>
      <c r="B24" s="101" t="s">
        <v>45</v>
      </c>
      <c r="C24" s="102"/>
      <c r="D24" s="73">
        <f t="shared" ref="D24:L24" si="13">D23/D11</f>
        <v>0.2404328</v>
      </c>
      <c r="E24" s="73">
        <f t="shared" si="13"/>
        <v>0.2404328</v>
      </c>
      <c r="F24" s="73">
        <f t="shared" si="13"/>
        <v>0.2404328</v>
      </c>
      <c r="G24" s="73">
        <f t="shared" si="13"/>
        <v>0.24043280000000003</v>
      </c>
      <c r="H24" s="73">
        <f t="shared" si="13"/>
        <v>0.24043280000000009</v>
      </c>
      <c r="I24" s="73">
        <f t="shared" si="13"/>
        <v>0.24043280000000006</v>
      </c>
      <c r="J24" s="73">
        <f t="shared" si="13"/>
        <v>0.24043279999999986</v>
      </c>
      <c r="K24" s="73">
        <f t="shared" si="13"/>
        <v>0.24043279999999992</v>
      </c>
      <c r="L24" s="73">
        <f t="shared" si="13"/>
        <v>0.24043279999999995</v>
      </c>
      <c r="M24" s="81"/>
      <c r="N24" s="73"/>
      <c r="O24" s="81"/>
      <c r="P24" s="152"/>
      <c r="R24" s="81"/>
    </row>
    <row r="25" spans="1:18" ht="5.0999999999999996" customHeight="1">
      <c r="A25" s="252"/>
      <c r="B25" s="27"/>
      <c r="C25" s="102"/>
      <c r="D25" s="73"/>
      <c r="E25" s="73"/>
      <c r="F25" s="73"/>
      <c r="G25" s="73"/>
      <c r="H25" s="73"/>
      <c r="I25" s="73"/>
      <c r="J25" s="73"/>
      <c r="K25" s="73"/>
      <c r="L25" s="73"/>
      <c r="M25" s="210"/>
      <c r="N25" s="73"/>
      <c r="O25" s="210"/>
      <c r="P25" s="152"/>
      <c r="R25" s="27"/>
    </row>
    <row r="26" spans="1:18">
      <c r="A26" s="252"/>
      <c r="B26" s="254" t="s">
        <v>35</v>
      </c>
      <c r="C26" s="102"/>
      <c r="D26" s="213">
        <v>1250</v>
      </c>
      <c r="E26" s="213">
        <v>1250</v>
      </c>
      <c r="F26" s="213">
        <v>1250</v>
      </c>
      <c r="G26" s="81">
        <f ca="1">'PP&amp;E Schedule'!G17</f>
        <v>1310.75</v>
      </c>
      <c r="H26" s="81">
        <f ca="1">'PP&amp;E Schedule'!H17</f>
        <v>1376.2875000000001</v>
      </c>
      <c r="I26" s="81">
        <f ca="1">'PP&amp;E Schedule'!I17</f>
        <v>1445.1018750000003</v>
      </c>
      <c r="J26" s="81">
        <f ca="1">'PP&amp;E Schedule'!J17</f>
        <v>1517.3569687500003</v>
      </c>
      <c r="K26" s="81">
        <f ca="1">'PP&amp;E Schedule'!K17</f>
        <v>1593.2248171875003</v>
      </c>
      <c r="L26" s="81">
        <f ca="1">'PP&amp;E Schedule'!L17</f>
        <v>1672.8860580468752</v>
      </c>
      <c r="M26" s="210"/>
      <c r="N26" s="348"/>
      <c r="O26" s="210"/>
      <c r="P26" s="152"/>
      <c r="R26" s="27"/>
    </row>
    <row r="27" spans="1:18">
      <c r="A27" s="252"/>
      <c r="B27" s="254" t="s">
        <v>81</v>
      </c>
      <c r="C27" s="102"/>
      <c r="D27" s="213">
        <v>0</v>
      </c>
      <c r="E27" s="213">
        <v>0</v>
      </c>
      <c r="F27" s="213">
        <v>0</v>
      </c>
      <c r="G27" s="81">
        <f>'PP&amp;E Schedule'!G29+'PP&amp;E Schedule'!G25</f>
        <v>170</v>
      </c>
      <c r="H27" s="81">
        <f>'PP&amp;E Schedule'!H29+'PP&amp;E Schedule'!H25</f>
        <v>170</v>
      </c>
      <c r="I27" s="81">
        <f>'PP&amp;E Schedule'!I29+'PP&amp;E Schedule'!I25</f>
        <v>170</v>
      </c>
      <c r="J27" s="81">
        <f>'PP&amp;E Schedule'!J29+'PP&amp;E Schedule'!J25</f>
        <v>170</v>
      </c>
      <c r="K27" s="81">
        <f>'PP&amp;E Schedule'!K29+'PP&amp;E Schedule'!K25</f>
        <v>170</v>
      </c>
      <c r="L27" s="81">
        <f>'PP&amp;E Schedule'!L29+'PP&amp;E Schedule'!L25</f>
        <v>0</v>
      </c>
      <c r="M27" s="210"/>
      <c r="N27" s="348"/>
      <c r="O27" s="210"/>
      <c r="P27" s="152"/>
      <c r="R27" s="27"/>
    </row>
    <row r="28" spans="1:18" ht="5.0999999999999996" customHeight="1">
      <c r="A28" s="252"/>
      <c r="B28" s="27"/>
      <c r="C28" s="102"/>
      <c r="D28" s="73"/>
      <c r="E28" s="73"/>
      <c r="F28" s="73"/>
      <c r="G28" s="73"/>
      <c r="H28" s="73"/>
      <c r="I28" s="73"/>
      <c r="J28" s="73"/>
      <c r="K28" s="73"/>
      <c r="L28" s="73"/>
      <c r="M28" s="210"/>
      <c r="N28" s="73"/>
      <c r="O28" s="210"/>
      <c r="P28" s="152"/>
      <c r="R28" s="27"/>
    </row>
    <row r="29" spans="1:18" ht="15" customHeight="1">
      <c r="A29" s="252"/>
      <c r="B29" s="208" t="s">
        <v>108</v>
      </c>
      <c r="C29" s="261"/>
      <c r="D29" s="261">
        <f>D23-D26-D27</f>
        <v>10771.64</v>
      </c>
      <c r="E29" s="261">
        <f t="shared" ref="E29:L29" si="14">E23-E26-E27</f>
        <v>10771.64</v>
      </c>
      <c r="F29" s="261">
        <f t="shared" si="14"/>
        <v>10771.64</v>
      </c>
      <c r="G29" s="261">
        <f t="shared" ca="1" si="14"/>
        <v>11141.972000000002</v>
      </c>
      <c r="H29" s="261">
        <f t="shared" ca="1" si="14"/>
        <v>11707.570600000005</v>
      </c>
      <c r="I29" s="261">
        <f t="shared" ca="1" si="14"/>
        <v>12301.449130000003</v>
      </c>
      <c r="J29" s="261">
        <f t="shared" ca="1" si="14"/>
        <v>12925.021586499992</v>
      </c>
      <c r="K29" s="261">
        <f t="shared" ca="1" si="14"/>
        <v>13579.772665824996</v>
      </c>
      <c r="L29" s="261">
        <f t="shared" ca="1" si="14"/>
        <v>14437.261299116246</v>
      </c>
      <c r="M29" s="210"/>
      <c r="N29" s="261"/>
      <c r="O29" s="210"/>
      <c r="P29" s="152"/>
      <c r="R29" s="27"/>
    </row>
    <row r="30" spans="1:18" ht="5.0999999999999996" customHeight="1">
      <c r="A30" s="252"/>
      <c r="B30" s="27"/>
      <c r="C30" s="102"/>
      <c r="D30" s="73"/>
      <c r="E30" s="73"/>
      <c r="F30" s="73"/>
      <c r="G30" s="73"/>
      <c r="H30" s="73"/>
      <c r="I30" s="73"/>
      <c r="J30" s="73"/>
      <c r="K30" s="73"/>
      <c r="L30" s="73"/>
      <c r="M30" s="210"/>
      <c r="N30" s="73"/>
      <c r="O30" s="210"/>
      <c r="P30" s="152"/>
      <c r="R30" s="27"/>
    </row>
    <row r="31" spans="1:18" ht="15" customHeight="1">
      <c r="A31" s="252"/>
      <c r="B31" s="24" t="s">
        <v>0</v>
      </c>
      <c r="C31" s="262" t="s">
        <v>215</v>
      </c>
      <c r="D31" s="213">
        <v>2601</v>
      </c>
      <c r="E31" s="213">
        <v>2813</v>
      </c>
      <c r="F31" s="213">
        <v>2719</v>
      </c>
      <c r="G31" s="81">
        <f ca="1">IF($C$31="Off",0,'Debt Schedule'!E64)</f>
        <v>2606.25</v>
      </c>
      <c r="H31" s="81">
        <f ca="1">IF($C$31="Off",0,'Debt Schedule'!F64)</f>
        <v>2418.75</v>
      </c>
      <c r="I31" s="81">
        <f ca="1">IF($C$31="Off",0,'Debt Schedule'!G64)</f>
        <v>2212.5</v>
      </c>
      <c r="J31" s="81">
        <f ca="1">IF($C$31="Off",0,'Debt Schedule'!H64)</f>
        <v>1987.5</v>
      </c>
      <c r="K31" s="81">
        <f ca="1">IF($C$31="Off",0,'Debt Schedule'!I64)</f>
        <v>1762.5</v>
      </c>
      <c r="L31" s="81">
        <f ca="1">IF($C$31="Off",0,'Debt Schedule'!J64)</f>
        <v>1650</v>
      </c>
      <c r="N31" s="348"/>
      <c r="O31" s="25"/>
      <c r="P31" s="152"/>
      <c r="Q31" s="118"/>
    </row>
    <row r="32" spans="1:18" s="28" customFormat="1" ht="5.0999999999999996" customHeight="1">
      <c r="A32" s="252"/>
      <c r="C32" s="258"/>
      <c r="D32" s="241"/>
      <c r="E32" s="241"/>
      <c r="F32" s="241"/>
      <c r="G32" s="81"/>
      <c r="H32" s="81"/>
      <c r="I32" s="81"/>
      <c r="J32" s="81"/>
      <c r="K32" s="81"/>
      <c r="L32" s="81"/>
      <c r="M32" s="25"/>
      <c r="N32" s="348"/>
      <c r="O32" s="25"/>
      <c r="P32" s="152"/>
    </row>
    <row r="33" spans="1:18">
      <c r="A33" s="252"/>
      <c r="B33" s="254" t="s">
        <v>155</v>
      </c>
      <c r="C33" s="128"/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N33" s="241"/>
      <c r="O33" s="25"/>
      <c r="P33" s="152"/>
    </row>
    <row r="34" spans="1:18" ht="5.0999999999999996" customHeight="1">
      <c r="A34" s="252"/>
      <c r="F34" s="82"/>
      <c r="G34" s="82"/>
      <c r="H34" s="83"/>
      <c r="I34" s="83"/>
      <c r="J34" s="83"/>
      <c r="K34" s="83"/>
      <c r="L34" s="83"/>
      <c r="N34" s="82"/>
      <c r="O34" s="25"/>
      <c r="P34" s="152"/>
    </row>
    <row r="35" spans="1:18">
      <c r="A35" s="252"/>
      <c r="B35" s="4" t="s">
        <v>1</v>
      </c>
      <c r="D35" s="81">
        <f>D29-D31+D33</f>
        <v>8170.6399999999994</v>
      </c>
      <c r="E35" s="81">
        <f t="shared" ref="E35:F35" si="15">E29-E31+E33</f>
        <v>7958.6399999999994</v>
      </c>
      <c r="F35" s="81">
        <f t="shared" si="15"/>
        <v>8052.6399999999994</v>
      </c>
      <c r="G35" s="81">
        <f t="shared" ref="G35:L35" ca="1" si="16">G29-G31+G33</f>
        <v>8535.7220000000016</v>
      </c>
      <c r="H35" s="81">
        <f t="shared" ca="1" si="16"/>
        <v>9288.8206000000046</v>
      </c>
      <c r="I35" s="81">
        <f t="shared" ca="1" si="16"/>
        <v>10088.949130000003</v>
      </c>
      <c r="J35" s="81">
        <f t="shared" ca="1" si="16"/>
        <v>10937.521586499992</v>
      </c>
      <c r="K35" s="81">
        <f t="shared" ca="1" si="16"/>
        <v>11817.272665824996</v>
      </c>
      <c r="L35" s="81">
        <f t="shared" ca="1" si="16"/>
        <v>12787.261299116246</v>
      </c>
      <c r="N35" s="348"/>
      <c r="O35" s="25"/>
      <c r="P35" s="152"/>
    </row>
    <row r="36" spans="1:18" ht="5.0999999999999996" customHeight="1">
      <c r="A36" s="252"/>
      <c r="D36" s="81"/>
      <c r="E36" s="81"/>
      <c r="F36" s="81"/>
      <c r="G36" s="81"/>
      <c r="H36" s="81"/>
      <c r="I36" s="81"/>
      <c r="J36" s="81"/>
      <c r="K36" s="81"/>
      <c r="L36" s="81"/>
      <c r="N36" s="348"/>
      <c r="O36" s="25"/>
      <c r="P36" s="152"/>
    </row>
    <row r="37" spans="1:18">
      <c r="A37" s="252"/>
      <c r="B37" s="128" t="s">
        <v>118</v>
      </c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N37" s="348"/>
      <c r="O37" s="25"/>
      <c r="P37" s="152"/>
    </row>
    <row r="38" spans="1:18" ht="5.0999999999999996" customHeight="1">
      <c r="A38" s="252"/>
      <c r="F38" s="82"/>
      <c r="G38" s="82"/>
      <c r="H38" s="83"/>
      <c r="I38" s="83"/>
      <c r="J38" s="83"/>
      <c r="K38" s="83"/>
      <c r="L38" s="83"/>
      <c r="N38" s="82"/>
      <c r="O38" s="25"/>
      <c r="P38" s="152"/>
    </row>
    <row r="39" spans="1:18">
      <c r="A39" s="252"/>
      <c r="B39" s="254" t="s">
        <v>154</v>
      </c>
      <c r="D39" s="213">
        <v>1129</v>
      </c>
      <c r="E39" s="213">
        <v>802</v>
      </c>
      <c r="F39" s="213">
        <v>797</v>
      </c>
      <c r="G39" s="81">
        <f t="shared" ref="G39:L39" ca="1" si="17">IF(G35&gt;0,G40*(G35-G37),0)</f>
        <v>2987.5027000000005</v>
      </c>
      <c r="H39" s="81">
        <f t="shared" ca="1" si="17"/>
        <v>3251.0872100000015</v>
      </c>
      <c r="I39" s="81">
        <f t="shared" ca="1" si="17"/>
        <v>3531.1321955000008</v>
      </c>
      <c r="J39" s="81">
        <f t="shared" ca="1" si="17"/>
        <v>3828.1325552749968</v>
      </c>
      <c r="K39" s="81">
        <f t="shared" ca="1" si="17"/>
        <v>4136.0454330387483</v>
      </c>
      <c r="L39" s="81">
        <f t="shared" ca="1" si="17"/>
        <v>4475.5414546906859</v>
      </c>
      <c r="N39" s="348"/>
      <c r="O39" s="25"/>
      <c r="P39" s="152"/>
      <c r="Q39" s="118"/>
    </row>
    <row r="40" spans="1:18">
      <c r="A40" s="252"/>
      <c r="B40" s="27" t="s">
        <v>5</v>
      </c>
      <c r="C40" s="27"/>
      <c r="D40" s="27"/>
      <c r="E40" s="27"/>
      <c r="F40" s="78"/>
      <c r="G40" s="263">
        <v>0.35</v>
      </c>
      <c r="H40" s="263">
        <v>0.35</v>
      </c>
      <c r="I40" s="263">
        <v>0.35</v>
      </c>
      <c r="J40" s="263">
        <v>0.35</v>
      </c>
      <c r="K40" s="263">
        <v>0.35</v>
      </c>
      <c r="L40" s="263">
        <v>0.35</v>
      </c>
      <c r="M40" s="210"/>
      <c r="N40" s="349"/>
      <c r="O40" s="210"/>
      <c r="P40" s="152"/>
      <c r="R40" s="27"/>
    </row>
    <row r="41" spans="1:18">
      <c r="A41" s="252"/>
      <c r="B41" s="254" t="s">
        <v>169</v>
      </c>
      <c r="D41" s="213">
        <v>0</v>
      </c>
      <c r="E41" s="213">
        <v>0</v>
      </c>
      <c r="F41" s="213">
        <v>0</v>
      </c>
      <c r="G41" s="81">
        <f t="shared" ref="G41:L41" si="18">G42*G17</f>
        <v>216.47850000000003</v>
      </c>
      <c r="H41" s="81">
        <f t="shared" si="18"/>
        <v>227.30242500000006</v>
      </c>
      <c r="I41" s="81">
        <f t="shared" si="18"/>
        <v>238.66754625000002</v>
      </c>
      <c r="J41" s="81">
        <f t="shared" si="18"/>
        <v>250.60092356249996</v>
      </c>
      <c r="K41" s="81">
        <f t="shared" si="18"/>
        <v>263.13096974062495</v>
      </c>
      <c r="L41" s="81">
        <f t="shared" si="18"/>
        <v>276.28751822765628</v>
      </c>
      <c r="M41" s="210"/>
      <c r="N41" s="348"/>
      <c r="O41" s="210"/>
      <c r="P41" s="152"/>
      <c r="R41" s="27"/>
    </row>
    <row r="42" spans="1:18">
      <c r="A42" s="252"/>
      <c r="B42" s="27" t="s">
        <v>5</v>
      </c>
      <c r="C42" s="27"/>
      <c r="D42" s="27"/>
      <c r="E42" s="27"/>
      <c r="F42" s="78"/>
      <c r="G42" s="263">
        <v>0.01</v>
      </c>
      <c r="H42" s="263">
        <v>0.01</v>
      </c>
      <c r="I42" s="263">
        <v>0.01</v>
      </c>
      <c r="J42" s="263">
        <v>0.01</v>
      </c>
      <c r="K42" s="263">
        <v>0.01</v>
      </c>
      <c r="L42" s="263">
        <v>0.01</v>
      </c>
      <c r="M42" s="210"/>
      <c r="N42" s="349"/>
      <c r="O42" s="210"/>
      <c r="P42" s="152"/>
      <c r="R42" s="27"/>
    </row>
    <row r="43" spans="1:18" ht="5.0999999999999996" customHeight="1">
      <c r="A43" s="252"/>
      <c r="F43" s="73"/>
      <c r="G43" s="73"/>
      <c r="H43" s="26"/>
      <c r="I43" s="26"/>
      <c r="J43" s="26"/>
      <c r="K43" s="26"/>
      <c r="L43" s="26"/>
      <c r="N43" s="73"/>
      <c r="O43" s="25"/>
      <c r="P43" s="152"/>
    </row>
    <row r="44" spans="1:18" ht="14.65" thickBot="1">
      <c r="A44" s="252"/>
      <c r="B44" s="264" t="s">
        <v>2</v>
      </c>
      <c r="C44" s="264"/>
      <c r="D44" s="387">
        <f>D35-SUM(D39,D41)</f>
        <v>7041.6399999999994</v>
      </c>
      <c r="E44" s="387">
        <f t="shared" ref="E44:F44" si="19">E35-SUM(E39,E41)</f>
        <v>7156.6399999999994</v>
      </c>
      <c r="F44" s="387">
        <f t="shared" si="19"/>
        <v>7255.6399999999994</v>
      </c>
      <c r="G44" s="387">
        <f t="shared" ref="G44:L44" ca="1" si="20">G35-SUM(G39,G41)</f>
        <v>5331.7408000000014</v>
      </c>
      <c r="H44" s="387">
        <f t="shared" ca="1" si="20"/>
        <v>5810.4309650000032</v>
      </c>
      <c r="I44" s="387">
        <f t="shared" ca="1" si="20"/>
        <v>6319.1493882500017</v>
      </c>
      <c r="J44" s="387">
        <f t="shared" ca="1" si="20"/>
        <v>6858.7881076624944</v>
      </c>
      <c r="K44" s="387">
        <f t="shared" ca="1" si="20"/>
        <v>7418.0962630456224</v>
      </c>
      <c r="L44" s="387">
        <f t="shared" ca="1" si="20"/>
        <v>8035.4323261979034</v>
      </c>
      <c r="N44" s="348"/>
      <c r="O44" s="25"/>
      <c r="P44" s="152"/>
    </row>
    <row r="45" spans="1:18" ht="5.0999999999999996" customHeight="1">
      <c r="A45" s="252"/>
      <c r="B45" s="24"/>
      <c r="C45" s="24"/>
      <c r="D45" s="81"/>
      <c r="E45" s="81"/>
      <c r="F45" s="81"/>
      <c r="G45" s="81"/>
      <c r="H45" s="81"/>
      <c r="I45" s="81"/>
      <c r="J45" s="81"/>
      <c r="K45" s="81"/>
      <c r="L45" s="81"/>
      <c r="N45" s="348"/>
      <c r="O45" s="25"/>
      <c r="P45" s="152"/>
    </row>
    <row r="46" spans="1:18">
      <c r="A46" s="421"/>
      <c r="B46" s="388" t="s">
        <v>149</v>
      </c>
      <c r="C46" s="102"/>
      <c r="D46" s="429">
        <v>0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241"/>
      <c r="N46" s="257"/>
      <c r="O46" s="25"/>
      <c r="P46" s="152"/>
    </row>
    <row r="47" spans="1:18" ht="5.0999999999999996" customHeight="1">
      <c r="A47" s="252"/>
      <c r="B47" s="267"/>
      <c r="C47" s="102"/>
      <c r="D47" s="257"/>
      <c r="E47" s="257"/>
      <c r="F47" s="257"/>
      <c r="G47" s="257"/>
      <c r="H47" s="257"/>
      <c r="I47" s="257"/>
      <c r="J47" s="257"/>
      <c r="K47" s="257"/>
      <c r="L47" s="257"/>
      <c r="M47" s="241"/>
      <c r="N47" s="257"/>
      <c r="O47" s="25"/>
      <c r="P47" s="152"/>
    </row>
    <row r="48" spans="1:18" ht="14.65" thickBot="1">
      <c r="A48" s="252"/>
      <c r="B48" s="264" t="s">
        <v>170</v>
      </c>
      <c r="C48" s="265"/>
      <c r="D48" s="266">
        <f t="shared" ref="D48:L48" si="21">D23+D46</f>
        <v>12021.64</v>
      </c>
      <c r="E48" s="266">
        <f t="shared" si="21"/>
        <v>12021.64</v>
      </c>
      <c r="F48" s="266">
        <f t="shared" si="21"/>
        <v>12021.64</v>
      </c>
      <c r="G48" s="266">
        <f t="shared" si="21"/>
        <v>12622.722000000002</v>
      </c>
      <c r="H48" s="266">
        <f t="shared" si="21"/>
        <v>13253.858100000005</v>
      </c>
      <c r="I48" s="266">
        <f t="shared" si="21"/>
        <v>13916.551005000003</v>
      </c>
      <c r="J48" s="266">
        <f t="shared" si="21"/>
        <v>14612.378555249992</v>
      </c>
      <c r="K48" s="266">
        <f t="shared" si="21"/>
        <v>15342.997483012496</v>
      </c>
      <c r="L48" s="266">
        <f t="shared" si="21"/>
        <v>16110.147357163121</v>
      </c>
      <c r="M48" s="152"/>
      <c r="N48" s="350"/>
      <c r="O48" s="152"/>
      <c r="P48" s="152"/>
      <c r="R48" s="119"/>
    </row>
    <row r="49" spans="1:23">
      <c r="A49" s="252"/>
      <c r="B49" s="27" t="s">
        <v>45</v>
      </c>
      <c r="C49" s="27"/>
      <c r="D49" s="73">
        <f t="shared" ref="D49:L49" si="22">D48/D11</f>
        <v>0.2404328</v>
      </c>
      <c r="E49" s="73">
        <f t="shared" si="22"/>
        <v>0.2404328</v>
      </c>
      <c r="F49" s="73">
        <f t="shared" si="22"/>
        <v>0.2404328</v>
      </c>
      <c r="G49" s="73">
        <f t="shared" si="22"/>
        <v>0.24043280000000003</v>
      </c>
      <c r="H49" s="26">
        <f t="shared" si="22"/>
        <v>0.24043280000000009</v>
      </c>
      <c r="I49" s="26">
        <f t="shared" si="22"/>
        <v>0.24043280000000006</v>
      </c>
      <c r="J49" s="26">
        <f t="shared" si="22"/>
        <v>0.24043279999999986</v>
      </c>
      <c r="K49" s="26">
        <f t="shared" si="22"/>
        <v>0.24043279999999992</v>
      </c>
      <c r="L49" s="26">
        <f t="shared" si="22"/>
        <v>0.24043279999999995</v>
      </c>
      <c r="M49" s="210"/>
      <c r="N49" s="73"/>
      <c r="O49" s="210"/>
      <c r="P49" s="152"/>
      <c r="R49" s="27"/>
    </row>
    <row r="50" spans="1:23" ht="5.0999999999999996" customHeight="1">
      <c r="A50" s="252"/>
      <c r="B50" s="24"/>
      <c r="C50" s="24"/>
      <c r="D50" s="24"/>
      <c r="E50" s="24"/>
      <c r="F50" s="24"/>
      <c r="G50" s="24"/>
      <c r="H50" s="219"/>
      <c r="I50" s="219"/>
      <c r="J50" s="219"/>
      <c r="K50" s="219"/>
      <c r="L50" s="219"/>
      <c r="N50" s="24"/>
      <c r="O50" s="24"/>
      <c r="P50" s="24"/>
      <c r="R50" s="24"/>
    </row>
    <row r="51" spans="1:23">
      <c r="A51" s="252"/>
      <c r="B51" s="16" t="str">
        <f>'Sources &amp; Uses'!B1</f>
        <v>COMPANY</v>
      </c>
      <c r="C51" s="16"/>
      <c r="D51" s="16"/>
      <c r="E51" s="16"/>
      <c r="F51" s="24"/>
      <c r="G51" s="24"/>
      <c r="H51" s="24"/>
      <c r="I51" s="24"/>
      <c r="J51" s="24"/>
      <c r="K51" s="24"/>
      <c r="L51" s="24"/>
      <c r="M51" s="208"/>
      <c r="N51" s="16"/>
      <c r="O51" s="16"/>
      <c r="P51" s="16"/>
      <c r="R51" s="16"/>
    </row>
    <row r="52" spans="1:23">
      <c r="A52" s="252"/>
      <c r="B52" s="16" t="s">
        <v>44</v>
      </c>
      <c r="C52" s="16"/>
      <c r="D52" s="16"/>
      <c r="E52" s="16"/>
      <c r="F52" s="24"/>
      <c r="G52" s="24"/>
      <c r="H52" s="24"/>
      <c r="I52" s="24"/>
      <c r="J52" s="24"/>
      <c r="K52" s="24"/>
      <c r="L52" s="24"/>
      <c r="M52" s="208"/>
      <c r="N52" s="103"/>
      <c r="O52" s="103"/>
      <c r="P52" s="103"/>
      <c r="Q52" s="103"/>
      <c r="R52" s="103"/>
      <c r="S52" s="103"/>
      <c r="U52" s="24"/>
      <c r="V52" s="24"/>
      <c r="W52" s="24"/>
    </row>
    <row r="53" spans="1:23" ht="2.1" customHeight="1">
      <c r="A53" s="25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N53" s="17"/>
      <c r="O53" s="17"/>
      <c r="P53" s="17"/>
      <c r="Q53" s="17"/>
      <c r="R53" s="17"/>
      <c r="S53" s="17"/>
      <c r="U53" s="24"/>
      <c r="V53" s="24"/>
      <c r="W53" s="24"/>
    </row>
    <row r="54" spans="1:23" hidden="1" outlineLevel="1">
      <c r="A54" s="25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N54" s="15"/>
      <c r="O54" s="15"/>
      <c r="P54" s="393" t="s">
        <v>228</v>
      </c>
      <c r="Q54" s="70"/>
      <c r="R54" s="15"/>
      <c r="S54" s="15"/>
    </row>
    <row r="55" spans="1:23" hidden="1" outlineLevel="1">
      <c r="A55" s="252"/>
      <c r="E55" s="243"/>
      <c r="F55" s="244"/>
      <c r="G55" s="29"/>
      <c r="H55" s="29"/>
      <c r="I55" s="29"/>
      <c r="J55" s="29"/>
      <c r="K55" s="29"/>
      <c r="L55" s="24"/>
      <c r="P55" s="16" t="s">
        <v>42</v>
      </c>
    </row>
    <row r="56" spans="1:23" hidden="1" outlineLevel="1">
      <c r="A56" s="252"/>
      <c r="E56" s="245"/>
      <c r="F56" s="246"/>
      <c r="G56" s="29"/>
      <c r="H56" s="29"/>
      <c r="I56" s="29"/>
      <c r="J56" s="29"/>
      <c r="K56" s="29"/>
      <c r="L56" s="24"/>
      <c r="P56" s="245" t="str">
        <f>'Sources &amp; Uses'!I6</f>
        <v>Common A</v>
      </c>
      <c r="Q56" s="246">
        <f>'Sources &amp; Uses'!J6</f>
        <v>3350</v>
      </c>
    </row>
    <row r="57" spans="1:23" hidden="1" outlineLevel="1">
      <c r="A57" s="469"/>
      <c r="E57" s="245"/>
      <c r="F57" s="246"/>
      <c r="G57" s="29"/>
      <c r="H57" s="29"/>
      <c r="I57" s="29"/>
      <c r="J57" s="29"/>
      <c r="K57" s="29"/>
      <c r="L57" s="24"/>
      <c r="P57" s="245" t="str">
        <f>'Sources &amp; Uses'!I7</f>
        <v>Common B</v>
      </c>
      <c r="Q57" s="246">
        <f>'Sources &amp; Uses'!J7</f>
        <v>500</v>
      </c>
    </row>
    <row r="58" spans="1:23" hidden="1" outlineLevel="1">
      <c r="A58" s="411"/>
      <c r="E58" s="245"/>
      <c r="F58" s="246"/>
      <c r="G58" s="29"/>
      <c r="H58" s="29"/>
      <c r="I58" s="29"/>
      <c r="J58" s="29"/>
      <c r="K58" s="29"/>
      <c r="L58" s="24"/>
      <c r="P58" s="245" t="str">
        <f>'Sources &amp; Uses'!I8</f>
        <v>Preferred Stock</v>
      </c>
      <c r="Q58" s="246">
        <f>'Sources &amp; Uses'!J8</f>
        <v>32500</v>
      </c>
    </row>
    <row r="59" spans="1:23" hidden="1" outlineLevel="1">
      <c r="A59" s="252"/>
      <c r="E59" s="245"/>
      <c r="F59" s="246"/>
      <c r="G59" s="29"/>
      <c r="H59" s="29"/>
      <c r="I59" s="29"/>
      <c r="J59" s="29"/>
      <c r="K59" s="29"/>
      <c r="L59" s="24"/>
      <c r="P59" s="245" t="str">
        <f>'Sources &amp; Uses'!I9</f>
        <v>Sub Debt</v>
      </c>
      <c r="Q59" s="246">
        <f>'Sources &amp; Uses'!J9</f>
        <v>10000</v>
      </c>
    </row>
    <row r="60" spans="1:23" hidden="1" outlineLevel="1">
      <c r="A60" s="252"/>
      <c r="E60" s="245"/>
      <c r="F60" s="246"/>
      <c r="G60" s="29"/>
      <c r="H60" s="29"/>
      <c r="I60" s="29"/>
      <c r="J60" s="29"/>
      <c r="K60" s="29"/>
      <c r="L60" s="24"/>
      <c r="P60" s="245" t="str">
        <f>'Sources &amp; Uses'!I10</f>
        <v>Senior Debt</v>
      </c>
      <c r="Q60" s="246">
        <f>'Sources &amp; Uses'!J10</f>
        <v>30000</v>
      </c>
    </row>
    <row r="61" spans="1:23" hidden="1" outlineLevel="1">
      <c r="A61" s="252"/>
      <c r="E61" s="245"/>
      <c r="F61" s="246"/>
      <c r="G61" s="29"/>
      <c r="H61" s="29"/>
      <c r="I61" s="29"/>
      <c r="J61" s="29"/>
      <c r="K61" s="29"/>
      <c r="L61" s="24"/>
      <c r="P61" s="245" t="str">
        <f>'Sources &amp; Uses'!I11</f>
        <v>Line of Credit</v>
      </c>
      <c r="Q61" s="246">
        <f>'Sources &amp; Uses'!J11</f>
        <v>0</v>
      </c>
    </row>
    <row r="62" spans="1:23" hidden="1" outlineLevel="1">
      <c r="A62" s="252"/>
      <c r="E62" s="245"/>
      <c r="F62" s="246"/>
      <c r="G62" s="29"/>
      <c r="H62" s="29"/>
      <c r="I62" s="29"/>
      <c r="J62" s="29"/>
      <c r="K62" s="29"/>
      <c r="L62" s="24"/>
      <c r="P62" s="16" t="s">
        <v>3</v>
      </c>
      <c r="Q62" s="370">
        <f>SUM(Q56:Q61)</f>
        <v>76350</v>
      </c>
    </row>
    <row r="63" spans="1:23" hidden="1" outlineLevel="1">
      <c r="A63" s="252"/>
      <c r="E63" s="245"/>
      <c r="F63" s="246"/>
      <c r="G63" s="29"/>
      <c r="H63" s="29"/>
      <c r="I63" s="29"/>
      <c r="J63" s="29"/>
      <c r="K63" s="29"/>
      <c r="L63" s="24"/>
      <c r="P63" s="16" t="s">
        <v>41</v>
      </c>
      <c r="U63" s="194"/>
    </row>
    <row r="64" spans="1:23" hidden="1" outlineLevel="1">
      <c r="A64" s="252"/>
      <c r="E64" s="245"/>
      <c r="F64" s="247"/>
      <c r="G64" s="29"/>
      <c r="H64" s="29"/>
      <c r="I64" s="29"/>
      <c r="J64" s="29"/>
      <c r="K64" s="29"/>
      <c r="L64" s="24"/>
      <c r="P64" s="249" t="str">
        <f>'Sources &amp; Uses'!L6</f>
        <v>Seller Proceeds</v>
      </c>
      <c r="Q64" s="246">
        <f>'Sources &amp; Uses'!M6</f>
        <v>62500</v>
      </c>
    </row>
    <row r="65" spans="1:19" hidden="1" outlineLevel="1">
      <c r="A65" s="252"/>
      <c r="E65" s="243"/>
      <c r="F65" s="248"/>
      <c r="G65" s="29"/>
      <c r="H65" s="29"/>
      <c r="I65" s="29"/>
      <c r="J65" s="29"/>
      <c r="K65" s="29"/>
      <c r="L65" s="24"/>
      <c r="P65" s="249" t="s">
        <v>106</v>
      </c>
      <c r="Q65" s="246">
        <f>'Sources &amp; Uses'!M7</f>
        <v>12500</v>
      </c>
    </row>
    <row r="66" spans="1:19" hidden="1" outlineLevel="1">
      <c r="A66" s="252"/>
      <c r="E66" s="243"/>
      <c r="F66" s="244"/>
      <c r="G66" s="29"/>
      <c r="H66" s="29"/>
      <c r="I66" s="29"/>
      <c r="J66" s="29"/>
      <c r="K66" s="29"/>
      <c r="L66" s="24"/>
      <c r="P66" s="249" t="s">
        <v>110</v>
      </c>
      <c r="Q66" s="246">
        <f>'Sources &amp; Uses'!M8</f>
        <v>500</v>
      </c>
    </row>
    <row r="67" spans="1:19" hidden="1" outlineLevel="1">
      <c r="A67" s="252"/>
      <c r="E67" s="249"/>
      <c r="F67" s="246"/>
      <c r="G67" s="29"/>
      <c r="H67" s="29"/>
      <c r="I67" s="29"/>
      <c r="J67" s="29"/>
      <c r="K67" s="29"/>
      <c r="L67" s="24"/>
      <c r="P67" s="249" t="str">
        <f>'Sources &amp; Uses'!L9</f>
        <v>Financing Fees (Sub Debt)</v>
      </c>
      <c r="Q67" s="246">
        <f>'Sources &amp; Uses'!M9</f>
        <v>200</v>
      </c>
    </row>
    <row r="68" spans="1:19" hidden="1" outlineLevel="1">
      <c r="A68" s="252"/>
      <c r="E68" s="249"/>
      <c r="F68" s="246"/>
      <c r="G68" s="29"/>
      <c r="H68" s="29"/>
      <c r="I68" s="29"/>
      <c r="J68" s="29"/>
      <c r="K68" s="29"/>
      <c r="L68" s="24"/>
      <c r="P68" s="249" t="str">
        <f>'Sources &amp; Uses'!L10</f>
        <v>Financing Fees (Senior Debt)</v>
      </c>
      <c r="Q68" s="246">
        <f>'Sources &amp; Uses'!M10</f>
        <v>600</v>
      </c>
    </row>
    <row r="69" spans="1:19" hidden="1" outlineLevel="1">
      <c r="A69" s="252"/>
      <c r="E69" s="249"/>
      <c r="F69" s="246"/>
      <c r="G69" s="29"/>
      <c r="H69" s="29"/>
      <c r="I69" s="29"/>
      <c r="J69" s="29"/>
      <c r="K69" s="29"/>
      <c r="L69" s="24"/>
      <c r="P69" s="249" t="str">
        <f>'Sources &amp; Uses'!L11</f>
        <v>Financing Fees (L.O.C.)</v>
      </c>
      <c r="Q69" s="246">
        <f>'Sources &amp; Uses'!M11</f>
        <v>50</v>
      </c>
    </row>
    <row r="70" spans="1:19" hidden="1" outlineLevel="1">
      <c r="A70" s="252"/>
      <c r="E70" s="249"/>
      <c r="F70" s="246"/>
      <c r="G70" s="29"/>
      <c r="H70" s="29"/>
      <c r="I70" s="29"/>
      <c r="J70" s="29"/>
      <c r="K70" s="29"/>
      <c r="L70" s="24"/>
      <c r="P70" s="249" t="s">
        <v>8</v>
      </c>
      <c r="Q70" s="246">
        <f>'Sources &amp; Uses'!M12</f>
        <v>0</v>
      </c>
    </row>
    <row r="71" spans="1:19" hidden="1" outlineLevel="1">
      <c r="A71" s="252"/>
      <c r="E71" s="249"/>
      <c r="F71" s="246"/>
      <c r="G71" s="29"/>
      <c r="H71" s="29"/>
      <c r="I71" s="29"/>
      <c r="J71" s="29"/>
      <c r="K71" s="29"/>
      <c r="L71" s="24"/>
      <c r="P71" s="16" t="s">
        <v>3</v>
      </c>
      <c r="Q71" s="371">
        <f>SUM(Q64:Q70)</f>
        <v>76350</v>
      </c>
    </row>
    <row r="72" spans="1:19" collapsed="1">
      <c r="A72" s="252"/>
      <c r="B72" s="15"/>
      <c r="C72" s="15"/>
      <c r="D72" s="15"/>
      <c r="E72" s="15"/>
      <c r="F72" s="104"/>
      <c r="G72" s="107" t="s">
        <v>4</v>
      </c>
      <c r="H72" s="107"/>
      <c r="I72" s="107"/>
      <c r="J72" s="107"/>
      <c r="K72" s="107"/>
      <c r="L72" s="107"/>
      <c r="N72" s="15"/>
      <c r="O72" s="15"/>
      <c r="P72" s="70" t="s">
        <v>82</v>
      </c>
      <c r="Q72" s="70"/>
      <c r="R72" s="15"/>
      <c r="S72" s="209"/>
    </row>
    <row r="73" spans="1:19">
      <c r="A73" s="252"/>
      <c r="D73" s="112" t="str">
        <f>D6</f>
        <v>Historical</v>
      </c>
      <c r="E73" s="113" t="str">
        <f>E6</f>
        <v>Historical</v>
      </c>
      <c r="F73" s="106" t="s">
        <v>87</v>
      </c>
      <c r="G73" s="150">
        <f t="shared" ref="G73:L73" si="23">G6</f>
        <v>1</v>
      </c>
      <c r="H73" s="135">
        <f t="shared" si="23"/>
        <v>2</v>
      </c>
      <c r="I73" s="135">
        <f t="shared" si="23"/>
        <v>3</v>
      </c>
      <c r="J73" s="135">
        <f t="shared" si="23"/>
        <v>4</v>
      </c>
      <c r="K73" s="135">
        <f t="shared" si="23"/>
        <v>5</v>
      </c>
      <c r="L73" s="135">
        <f t="shared" si="23"/>
        <v>6</v>
      </c>
      <c r="N73" s="394" t="s">
        <v>229</v>
      </c>
      <c r="O73" s="13"/>
      <c r="P73" s="14" t="s">
        <v>40</v>
      </c>
      <c r="Q73" s="14"/>
      <c r="S73" s="71" t="s">
        <v>87</v>
      </c>
    </row>
    <row r="74" spans="1:19">
      <c r="A74" s="252"/>
      <c r="D74" s="10">
        <f t="shared" ref="D74:L74" si="24">D8</f>
        <v>42369</v>
      </c>
      <c r="E74" s="111">
        <f t="shared" si="24"/>
        <v>42735</v>
      </c>
      <c r="F74" s="110">
        <f t="shared" si="24"/>
        <v>43100</v>
      </c>
      <c r="G74" s="110">
        <f t="shared" si="24"/>
        <v>43465</v>
      </c>
      <c r="H74" s="10">
        <f t="shared" si="24"/>
        <v>43830</v>
      </c>
      <c r="I74" s="10">
        <f t="shared" si="24"/>
        <v>44196</v>
      </c>
      <c r="J74" s="10">
        <f t="shared" si="24"/>
        <v>44561</v>
      </c>
      <c r="K74" s="10">
        <f t="shared" si="24"/>
        <v>44926</v>
      </c>
      <c r="L74" s="10">
        <f t="shared" si="24"/>
        <v>45291</v>
      </c>
      <c r="N74" s="10">
        <f>F8</f>
        <v>43100</v>
      </c>
      <c r="O74" s="12"/>
      <c r="P74" s="11" t="s">
        <v>39</v>
      </c>
      <c r="Q74" s="11" t="s">
        <v>38</v>
      </c>
      <c r="S74" s="10">
        <f>F74</f>
        <v>43100</v>
      </c>
    </row>
    <row r="75" spans="1:19">
      <c r="A75" s="252"/>
      <c r="B75" s="6" t="s">
        <v>6</v>
      </c>
      <c r="C75" s="6"/>
      <c r="D75" s="6"/>
      <c r="E75" s="6"/>
      <c r="G75" s="23"/>
      <c r="H75" s="23"/>
      <c r="I75" s="23"/>
      <c r="J75" s="23"/>
      <c r="K75" s="23"/>
      <c r="L75" s="23"/>
    </row>
    <row r="76" spans="1:19">
      <c r="A76" s="252"/>
      <c r="B76" s="9" t="s">
        <v>7</v>
      </c>
      <c r="C76" s="9"/>
      <c r="D76" s="9"/>
      <c r="E76" s="9"/>
      <c r="G76" s="1"/>
      <c r="H76" s="1"/>
      <c r="I76" s="1"/>
      <c r="J76" s="1"/>
      <c r="K76" s="1"/>
      <c r="L76" s="1"/>
    </row>
    <row r="77" spans="1:19">
      <c r="A77" s="252"/>
      <c r="B77" s="116" t="s">
        <v>8</v>
      </c>
      <c r="C77" s="203"/>
      <c r="D77" s="214">
        <v>4919</v>
      </c>
      <c r="E77" s="214">
        <v>3495</v>
      </c>
      <c r="F77" s="21">
        <f t="shared" ref="F77:F82" si="25">SUM(N77:Q77)</f>
        <v>0</v>
      </c>
      <c r="G77" s="21">
        <f t="shared" ref="G77:L77" ca="1" si="26">G198</f>
        <v>1105.1908000000012</v>
      </c>
      <c r="H77" s="21">
        <f t="shared" ca="1" si="26"/>
        <v>2662.3442650000043</v>
      </c>
      <c r="I77" s="21">
        <f t="shared" ca="1" si="26"/>
        <v>3944.5522782500057</v>
      </c>
      <c r="J77" s="21">
        <f t="shared" ca="1" si="26"/>
        <v>5731.0519421625004</v>
      </c>
      <c r="K77" s="21">
        <f t="shared" ca="1" si="26"/>
        <v>8039.7453392706229</v>
      </c>
      <c r="L77" s="21">
        <f t="shared" ca="1" si="26"/>
        <v>15256.80465623415</v>
      </c>
      <c r="M77" s="197"/>
      <c r="N77" s="214">
        <v>0</v>
      </c>
      <c r="P77" s="21">
        <f>Q62</f>
        <v>76350</v>
      </c>
      <c r="Q77" s="21">
        <f>-Q71+Q70</f>
        <v>-76350</v>
      </c>
      <c r="S77" s="21">
        <f t="shared" ref="S77:S84" si="27">F77</f>
        <v>0</v>
      </c>
    </row>
    <row r="78" spans="1:19">
      <c r="A78" s="252"/>
      <c r="B78" s="116" t="s">
        <v>24</v>
      </c>
      <c r="C78" s="203"/>
      <c r="D78" s="214">
        <v>2250</v>
      </c>
      <c r="E78" s="214">
        <v>2250</v>
      </c>
      <c r="F78" s="21">
        <f t="shared" si="25"/>
        <v>2250</v>
      </c>
      <c r="G78" s="21">
        <f>(G11/G9*12)/365*G139</f>
        <v>2362.5</v>
      </c>
      <c r="H78" s="21">
        <f>H11/365*H139</f>
        <v>2480.625</v>
      </c>
      <c r="I78" s="21">
        <f>I11/365*I139</f>
        <v>2604.65625</v>
      </c>
      <c r="J78" s="21">
        <f>J11/365*J139</f>
        <v>2734.8890625000004</v>
      </c>
      <c r="K78" s="21">
        <f>K11/365*K139</f>
        <v>2871.6335156250002</v>
      </c>
      <c r="L78" s="21">
        <f>L11/365*L139</f>
        <v>3015.2151914062501</v>
      </c>
      <c r="M78" s="197"/>
      <c r="N78" s="214">
        <v>2250</v>
      </c>
      <c r="P78" s="21"/>
      <c r="Q78" s="21"/>
      <c r="S78" s="21">
        <f t="shared" si="27"/>
        <v>2250</v>
      </c>
    </row>
    <row r="79" spans="1:19">
      <c r="A79" s="252"/>
      <c r="B79" s="116" t="s">
        <v>111</v>
      </c>
      <c r="C79" s="203"/>
      <c r="D79" s="214">
        <v>3180</v>
      </c>
      <c r="E79" s="214">
        <v>3180</v>
      </c>
      <c r="F79" s="21">
        <f t="shared" si="25"/>
        <v>3180</v>
      </c>
      <c r="G79" s="21">
        <f>(G$14/G$9*12)/365*G140</f>
        <v>3339</v>
      </c>
      <c r="H79" s="21">
        <f>H14/365*H140</f>
        <v>3505.9500000000003</v>
      </c>
      <c r="I79" s="21">
        <f>I14/365*I140</f>
        <v>3681.2474999999999</v>
      </c>
      <c r="J79" s="21">
        <f>J14/365*J140</f>
        <v>3865.3098750000008</v>
      </c>
      <c r="K79" s="21">
        <f>K14/365*K140</f>
        <v>4058.575368750001</v>
      </c>
      <c r="L79" s="21">
        <f>L14/365*L140</f>
        <v>4261.5041371875004</v>
      </c>
      <c r="M79" s="197"/>
      <c r="N79" s="214">
        <v>3180</v>
      </c>
      <c r="P79" s="21"/>
      <c r="Q79" s="204"/>
      <c r="S79" s="21">
        <f t="shared" si="27"/>
        <v>3180</v>
      </c>
    </row>
    <row r="80" spans="1:19">
      <c r="A80" s="252"/>
      <c r="B80" s="116" t="s">
        <v>138</v>
      </c>
      <c r="C80" s="203"/>
      <c r="D80" s="214">
        <v>1400</v>
      </c>
      <c r="E80" s="214">
        <v>1400</v>
      </c>
      <c r="F80" s="21">
        <f t="shared" si="25"/>
        <v>1400</v>
      </c>
      <c r="G80" s="21">
        <f>(G$14/G$9*12)/365*G141</f>
        <v>1470</v>
      </c>
      <c r="H80" s="21">
        <f>(H$14/H$9*12)/365*H141</f>
        <v>1543.5</v>
      </c>
      <c r="I80" s="21">
        <f>(I$14/I$9*12)/365*I141</f>
        <v>1620.675</v>
      </c>
      <c r="J80" s="21">
        <f>(J$14/J$9*12)/365*J141</f>
        <v>1701.7087500000002</v>
      </c>
      <c r="K80" s="21">
        <f>(K$14/K$9*12)/365*K141</f>
        <v>1786.7941875000004</v>
      </c>
      <c r="L80" s="21">
        <f>(L$14/L$9*12)/365*L141</f>
        <v>1876.1338968749999</v>
      </c>
      <c r="M80" s="197"/>
      <c r="N80" s="214">
        <v>1400</v>
      </c>
      <c r="P80" s="21"/>
      <c r="Q80" s="21"/>
      <c r="S80" s="21">
        <f t="shared" si="27"/>
        <v>1400</v>
      </c>
    </row>
    <row r="81" spans="1:19">
      <c r="A81" s="252"/>
      <c r="B81" s="116" t="s">
        <v>167</v>
      </c>
      <c r="C81" s="203"/>
      <c r="D81" s="214">
        <v>0</v>
      </c>
      <c r="E81" s="214">
        <v>0</v>
      </c>
      <c r="F81" s="21">
        <f t="shared" si="25"/>
        <v>0</v>
      </c>
      <c r="G81" s="21">
        <f t="shared" ref="G81" si="28">F81</f>
        <v>0</v>
      </c>
      <c r="H81" s="21">
        <f t="shared" ref="H81" si="29">G81</f>
        <v>0</v>
      </c>
      <c r="I81" s="21">
        <f t="shared" ref="I81" si="30">H81</f>
        <v>0</v>
      </c>
      <c r="J81" s="21">
        <f t="shared" ref="J81" si="31">I81</f>
        <v>0</v>
      </c>
      <c r="K81" s="21">
        <f t="shared" ref="K81" si="32">J81</f>
        <v>0</v>
      </c>
      <c r="L81" s="21">
        <f t="shared" ref="L81" si="33">K81</f>
        <v>0</v>
      </c>
      <c r="M81" s="197"/>
      <c r="N81" s="214">
        <v>0</v>
      </c>
      <c r="P81" s="21"/>
      <c r="Q81" s="21"/>
      <c r="S81" s="21">
        <f t="shared" si="27"/>
        <v>0</v>
      </c>
    </row>
    <row r="82" spans="1:19">
      <c r="A82" s="252"/>
      <c r="B82" s="116" t="s">
        <v>139</v>
      </c>
      <c r="C82" s="203"/>
      <c r="D82" s="214">
        <v>0</v>
      </c>
      <c r="E82" s="214">
        <v>0</v>
      </c>
      <c r="F82" s="21">
        <f t="shared" si="25"/>
        <v>0</v>
      </c>
      <c r="G82" s="21">
        <f t="shared" ref="G82" si="34">F82</f>
        <v>0</v>
      </c>
      <c r="H82" s="21">
        <f>G82</f>
        <v>0</v>
      </c>
      <c r="I82" s="21">
        <f>H82</f>
        <v>0</v>
      </c>
      <c r="J82" s="21">
        <f>I82</f>
        <v>0</v>
      </c>
      <c r="K82" s="21">
        <f>J82</f>
        <v>0</v>
      </c>
      <c r="L82" s="21">
        <f>K82</f>
        <v>0</v>
      </c>
      <c r="M82" s="197"/>
      <c r="N82" s="214">
        <v>0</v>
      </c>
      <c r="P82" s="1"/>
      <c r="Q82" s="1"/>
      <c r="S82" s="21">
        <f t="shared" si="27"/>
        <v>0</v>
      </c>
    </row>
    <row r="83" spans="1:19" ht="3" customHeight="1">
      <c r="A83" s="252"/>
      <c r="B83" s="38"/>
      <c r="C83" s="38"/>
      <c r="D83" s="20"/>
      <c r="E83" s="20"/>
      <c r="F83" s="20"/>
      <c r="G83" s="20"/>
      <c r="H83" s="20"/>
      <c r="I83" s="20"/>
      <c r="J83" s="20"/>
      <c r="K83" s="20"/>
      <c r="L83" s="20"/>
      <c r="N83" s="20"/>
      <c r="P83" s="20"/>
      <c r="Q83" s="20"/>
      <c r="S83" s="20">
        <f t="shared" si="27"/>
        <v>0</v>
      </c>
    </row>
    <row r="84" spans="1:19">
      <c r="A84" s="252"/>
      <c r="B84" s="8" t="s">
        <v>9</v>
      </c>
      <c r="C84" s="8"/>
      <c r="D84" s="1">
        <f t="shared" ref="D84:L84" si="35">SUM(D77:D82)</f>
        <v>11749</v>
      </c>
      <c r="E84" s="1">
        <f t="shared" si="35"/>
        <v>10325</v>
      </c>
      <c r="F84" s="1">
        <f t="shared" si="35"/>
        <v>6830</v>
      </c>
      <c r="G84" s="1">
        <f t="shared" ca="1" si="35"/>
        <v>8276.6908000000003</v>
      </c>
      <c r="H84" s="1">
        <f t="shared" ca="1" si="35"/>
        <v>10192.419265000004</v>
      </c>
      <c r="I84" s="1">
        <f t="shared" ca="1" si="35"/>
        <v>11851.131028250005</v>
      </c>
      <c r="J84" s="1">
        <f t="shared" ca="1" si="35"/>
        <v>14032.959629662502</v>
      </c>
      <c r="K84" s="1">
        <f t="shared" ca="1" si="35"/>
        <v>16756.748411145625</v>
      </c>
      <c r="L84" s="1">
        <f t="shared" ca="1" si="35"/>
        <v>24409.6578817029</v>
      </c>
      <c r="M84" s="51"/>
      <c r="N84" s="1">
        <f>SUM(N77:N82)</f>
        <v>6830</v>
      </c>
      <c r="P84" s="1">
        <f>SUM(P77:P82)</f>
        <v>76350</v>
      </c>
      <c r="Q84" s="1">
        <f>SUM(Q77:Q82)</f>
        <v>-76350</v>
      </c>
      <c r="R84" s="1"/>
      <c r="S84" s="1">
        <f t="shared" si="27"/>
        <v>6830</v>
      </c>
    </row>
    <row r="85" spans="1:19">
      <c r="A85" s="252"/>
      <c r="B85" s="8"/>
      <c r="C85" s="8"/>
      <c r="D85" s="19"/>
      <c r="E85" s="19"/>
      <c r="F85" s="19"/>
      <c r="G85" s="19"/>
      <c r="H85" s="19"/>
      <c r="I85" s="19"/>
      <c r="J85" s="19"/>
      <c r="K85" s="19"/>
      <c r="L85" s="19"/>
      <c r="N85" s="19"/>
      <c r="P85" s="19"/>
      <c r="Q85" s="19"/>
      <c r="S85" s="19"/>
    </row>
    <row r="86" spans="1:19">
      <c r="A86" s="252"/>
      <c r="B86" s="9" t="s">
        <v>88</v>
      </c>
      <c r="C86" s="9"/>
    </row>
    <row r="87" spans="1:19">
      <c r="A87" s="252"/>
      <c r="B87" s="215" t="s">
        <v>140</v>
      </c>
      <c r="C87" s="196"/>
      <c r="D87" s="214">
        <v>12000</v>
      </c>
      <c r="E87" s="214">
        <v>12000</v>
      </c>
      <c r="F87" s="21">
        <f t="shared" ref="F87" si="36">SUM(N87:Q87)</f>
        <v>12000</v>
      </c>
      <c r="G87" s="21">
        <f ca="1">'PP&amp;E Schedule'!G22</f>
        <v>12561.75</v>
      </c>
      <c r="H87" s="21">
        <f ca="1">'PP&amp;E Schedule'!H22</f>
        <v>13151.5875</v>
      </c>
      <c r="I87" s="21">
        <f ca="1">'PP&amp;E Schedule'!I22</f>
        <v>13770.916874999999</v>
      </c>
      <c r="J87" s="21">
        <f ca="1">'PP&amp;E Schedule'!J22</f>
        <v>14421.212718749999</v>
      </c>
      <c r="K87" s="21">
        <f ca="1">'PP&amp;E Schedule'!K22</f>
        <v>15104.023354687499</v>
      </c>
      <c r="L87" s="21">
        <f ca="1">'PP&amp;E Schedule'!L22</f>
        <v>15820.974522421875</v>
      </c>
      <c r="M87" s="197"/>
      <c r="N87" s="214">
        <v>12000</v>
      </c>
      <c r="P87" s="21"/>
      <c r="Q87" s="21"/>
      <c r="S87" s="21">
        <f t="shared" ref="S87:S89" si="37">F87</f>
        <v>12000</v>
      </c>
    </row>
    <row r="88" spans="1:19" s="28" customFormat="1" ht="3" customHeight="1">
      <c r="A88" s="252"/>
      <c r="B88" s="116"/>
      <c r="C88" s="116"/>
      <c r="D88" s="21"/>
      <c r="E88" s="21"/>
      <c r="F88" s="21"/>
      <c r="G88" s="21"/>
      <c r="H88" s="21"/>
      <c r="I88" s="21"/>
      <c r="J88" s="21"/>
      <c r="K88" s="21"/>
      <c r="L88" s="21"/>
      <c r="M88" s="25"/>
      <c r="N88" s="21"/>
      <c r="P88" s="21"/>
      <c r="Q88" s="21"/>
      <c r="S88" s="21">
        <f t="shared" si="37"/>
        <v>0</v>
      </c>
    </row>
    <row r="89" spans="1:19">
      <c r="A89" s="252"/>
      <c r="B89" s="318" t="s">
        <v>89</v>
      </c>
      <c r="C89" s="318"/>
      <c r="D89" s="84">
        <f t="shared" ref="D89:L89" si="38">SUM(D87:D87)</f>
        <v>12000</v>
      </c>
      <c r="E89" s="84">
        <f t="shared" si="38"/>
        <v>12000</v>
      </c>
      <c r="F89" s="84">
        <f t="shared" si="38"/>
        <v>12000</v>
      </c>
      <c r="G89" s="84">
        <f t="shared" ca="1" si="38"/>
        <v>12561.75</v>
      </c>
      <c r="H89" s="84">
        <f t="shared" ca="1" si="38"/>
        <v>13151.5875</v>
      </c>
      <c r="I89" s="84">
        <f t="shared" ca="1" si="38"/>
        <v>13770.916874999999</v>
      </c>
      <c r="J89" s="84">
        <f t="shared" ca="1" si="38"/>
        <v>14421.212718749999</v>
      </c>
      <c r="K89" s="84">
        <f t="shared" ca="1" si="38"/>
        <v>15104.023354687499</v>
      </c>
      <c r="L89" s="84">
        <f t="shared" ca="1" si="38"/>
        <v>15820.974522421875</v>
      </c>
      <c r="N89" s="84">
        <f>SUM(N87:N87)</f>
        <v>12000</v>
      </c>
      <c r="P89" s="205"/>
      <c r="Q89" s="205"/>
      <c r="S89" s="84">
        <f t="shared" si="37"/>
        <v>12000</v>
      </c>
    </row>
    <row r="90" spans="1:19">
      <c r="A90" s="252"/>
      <c r="B90" s="9"/>
      <c r="C90" s="9"/>
      <c r="G90" s="21"/>
      <c r="H90" s="21"/>
      <c r="I90" s="21"/>
      <c r="J90" s="21"/>
      <c r="K90" s="21"/>
      <c r="L90" s="21"/>
    </row>
    <row r="91" spans="1:19">
      <c r="A91" s="252"/>
      <c r="B91" s="9" t="s">
        <v>10</v>
      </c>
      <c r="C91" s="9"/>
      <c r="D91" s="21"/>
      <c r="E91" s="21"/>
      <c r="F91" s="21"/>
      <c r="G91" s="21"/>
      <c r="H91" s="21"/>
      <c r="I91" s="21"/>
      <c r="J91" s="21"/>
      <c r="K91" s="21"/>
      <c r="L91" s="21"/>
      <c r="N91" s="21"/>
      <c r="P91" s="21"/>
      <c r="Q91" s="21"/>
      <c r="S91" s="21"/>
    </row>
    <row r="92" spans="1:19">
      <c r="A92" s="252"/>
      <c r="B92" s="116" t="s">
        <v>141</v>
      </c>
      <c r="C92" s="203"/>
      <c r="D92" s="214">
        <v>0</v>
      </c>
      <c r="E92" s="214">
        <v>0</v>
      </c>
      <c r="F92" s="21">
        <f t="shared" ref="F92:F97" si="39">SUM(N92:Q92)</f>
        <v>850</v>
      </c>
      <c r="G92" s="21">
        <f>'PP&amp;E Schedule'!G28</f>
        <v>680</v>
      </c>
      <c r="H92" s="21">
        <f>'PP&amp;E Schedule'!H28</f>
        <v>510</v>
      </c>
      <c r="I92" s="21">
        <f>'PP&amp;E Schedule'!I28</f>
        <v>340</v>
      </c>
      <c r="J92" s="21">
        <f>'PP&amp;E Schedule'!J28</f>
        <v>170</v>
      </c>
      <c r="K92" s="21">
        <f>'PP&amp;E Schedule'!K28</f>
        <v>0</v>
      </c>
      <c r="L92" s="21">
        <f>'PP&amp;E Schedule'!L28</f>
        <v>0</v>
      </c>
      <c r="M92" s="197"/>
      <c r="N92" s="214">
        <v>0</v>
      </c>
      <c r="P92" s="21"/>
      <c r="Q92" s="21">
        <f>Q67+Q68+Q69</f>
        <v>850</v>
      </c>
      <c r="S92" s="21">
        <f t="shared" ref="S92:S101" si="40">F92</f>
        <v>850</v>
      </c>
    </row>
    <row r="93" spans="1:19">
      <c r="A93" s="252"/>
      <c r="B93" s="116" t="s">
        <v>183</v>
      </c>
      <c r="C93" s="203"/>
      <c r="D93" s="214">
        <v>3301</v>
      </c>
      <c r="E93" s="214">
        <v>3301</v>
      </c>
      <c r="F93" s="21">
        <f t="shared" si="39"/>
        <v>62766</v>
      </c>
      <c r="G93" s="21">
        <f>'PP&amp;E Schedule'!G26</f>
        <v>62766</v>
      </c>
      <c r="H93" s="21">
        <f>'PP&amp;E Schedule'!H26</f>
        <v>62766</v>
      </c>
      <c r="I93" s="21">
        <f>'PP&amp;E Schedule'!I26</f>
        <v>62766</v>
      </c>
      <c r="J93" s="21">
        <f>'PP&amp;E Schedule'!J26</f>
        <v>62766</v>
      </c>
      <c r="K93" s="21">
        <f>'PP&amp;E Schedule'!K26</f>
        <v>62766</v>
      </c>
      <c r="L93" s="21">
        <f>'PP&amp;E Schedule'!L26</f>
        <v>62766</v>
      </c>
      <c r="M93" s="197"/>
      <c r="N93" s="214">
        <v>3301</v>
      </c>
      <c r="P93" s="21"/>
      <c r="Q93" s="21">
        <f>Q64-N133</f>
        <v>59465</v>
      </c>
      <c r="S93" s="21">
        <f t="shared" si="40"/>
        <v>62766</v>
      </c>
    </row>
    <row r="94" spans="1:19">
      <c r="A94" s="252"/>
      <c r="B94" s="116" t="s">
        <v>142</v>
      </c>
      <c r="C94" s="203"/>
      <c r="D94" s="214">
        <v>0</v>
      </c>
      <c r="E94" s="214">
        <v>0</v>
      </c>
      <c r="F94" s="21">
        <f t="shared" si="39"/>
        <v>0</v>
      </c>
      <c r="G94" s="21">
        <f>F94</f>
        <v>0</v>
      </c>
      <c r="H94" s="21">
        <f t="shared" ref="H94:L94" si="41">G94</f>
        <v>0</v>
      </c>
      <c r="I94" s="21">
        <f t="shared" si="41"/>
        <v>0</v>
      </c>
      <c r="J94" s="21">
        <f t="shared" si="41"/>
        <v>0</v>
      </c>
      <c r="K94" s="21">
        <f t="shared" si="41"/>
        <v>0</v>
      </c>
      <c r="L94" s="21">
        <f t="shared" si="41"/>
        <v>0</v>
      </c>
      <c r="M94" s="197"/>
      <c r="N94" s="214">
        <v>0</v>
      </c>
      <c r="P94" s="21"/>
      <c r="Q94" s="21"/>
      <c r="S94" s="21">
        <f t="shared" si="40"/>
        <v>0</v>
      </c>
    </row>
    <row r="95" spans="1:19">
      <c r="A95" s="252"/>
      <c r="B95" s="116" t="s">
        <v>150</v>
      </c>
      <c r="C95" s="203"/>
      <c r="D95" s="214">
        <v>0</v>
      </c>
      <c r="E95" s="214">
        <v>0</v>
      </c>
      <c r="F95" s="21">
        <f t="shared" si="39"/>
        <v>0</v>
      </c>
      <c r="G95" s="21">
        <f t="shared" ref="G95:G96" si="42">F95</f>
        <v>0</v>
      </c>
      <c r="H95" s="21">
        <f t="shared" ref="H95:H96" si="43">G95</f>
        <v>0</v>
      </c>
      <c r="I95" s="21">
        <f t="shared" ref="I95:I96" si="44">H95</f>
        <v>0</v>
      </c>
      <c r="J95" s="21">
        <f t="shared" ref="J95:J96" si="45">I95</f>
        <v>0</v>
      </c>
      <c r="K95" s="21">
        <f t="shared" ref="K95:K96" si="46">J95</f>
        <v>0</v>
      </c>
      <c r="L95" s="21">
        <f t="shared" ref="L95:L96" si="47">K95</f>
        <v>0</v>
      </c>
      <c r="M95" s="197"/>
      <c r="N95" s="214">
        <v>0</v>
      </c>
      <c r="P95" s="21"/>
      <c r="Q95" s="21"/>
      <c r="S95" s="21">
        <f t="shared" si="40"/>
        <v>0</v>
      </c>
    </row>
    <row r="96" spans="1:19">
      <c r="A96" s="252"/>
      <c r="B96" s="116" t="s">
        <v>143</v>
      </c>
      <c r="C96" s="203"/>
      <c r="D96" s="214">
        <v>450</v>
      </c>
      <c r="E96" s="214">
        <v>450</v>
      </c>
      <c r="F96" s="21">
        <f t="shared" si="39"/>
        <v>450</v>
      </c>
      <c r="G96" s="21">
        <f t="shared" si="42"/>
        <v>450</v>
      </c>
      <c r="H96" s="21">
        <f t="shared" si="43"/>
        <v>450</v>
      </c>
      <c r="I96" s="21">
        <f t="shared" si="44"/>
        <v>450</v>
      </c>
      <c r="J96" s="21">
        <f t="shared" si="45"/>
        <v>450</v>
      </c>
      <c r="K96" s="21">
        <f t="shared" si="46"/>
        <v>450</v>
      </c>
      <c r="L96" s="21">
        <f t="shared" si="47"/>
        <v>450</v>
      </c>
      <c r="M96" s="197"/>
      <c r="N96" s="214">
        <v>450</v>
      </c>
      <c r="P96" s="21"/>
      <c r="Q96" s="21"/>
      <c r="S96" s="21">
        <f t="shared" si="40"/>
        <v>450</v>
      </c>
    </row>
    <row r="97" spans="1:19">
      <c r="A97" s="252"/>
      <c r="B97" s="116" t="s">
        <v>144</v>
      </c>
      <c r="C97" s="203"/>
      <c r="D97" s="214">
        <v>0</v>
      </c>
      <c r="E97" s="214">
        <v>0</v>
      </c>
      <c r="F97" s="21">
        <f t="shared" si="39"/>
        <v>0</v>
      </c>
      <c r="G97" s="21">
        <f>F97</f>
        <v>0</v>
      </c>
      <c r="H97" s="21">
        <f t="shared" ref="H97:L97" si="48">G97</f>
        <v>0</v>
      </c>
      <c r="I97" s="21">
        <f t="shared" si="48"/>
        <v>0</v>
      </c>
      <c r="J97" s="21">
        <f t="shared" si="48"/>
        <v>0</v>
      </c>
      <c r="K97" s="21">
        <f t="shared" si="48"/>
        <v>0</v>
      </c>
      <c r="L97" s="21">
        <f t="shared" si="48"/>
        <v>0</v>
      </c>
      <c r="M97" s="197"/>
      <c r="N97" s="214">
        <v>0</v>
      </c>
      <c r="P97" s="21"/>
      <c r="Q97" s="21"/>
      <c r="R97" s="24"/>
      <c r="S97" s="21">
        <f t="shared" si="40"/>
        <v>0</v>
      </c>
    </row>
    <row r="98" spans="1:19" ht="3" customHeight="1">
      <c r="A98" s="252"/>
      <c r="B98" s="38"/>
      <c r="C98" s="38"/>
      <c r="D98" s="20"/>
      <c r="E98" s="20"/>
      <c r="F98" s="20"/>
      <c r="G98" s="20"/>
      <c r="H98" s="20"/>
      <c r="I98" s="20"/>
      <c r="J98" s="20"/>
      <c r="K98" s="20"/>
      <c r="L98" s="20"/>
      <c r="N98" s="20"/>
      <c r="P98" s="20"/>
      <c r="Q98" s="20"/>
      <c r="R98" s="24"/>
      <c r="S98" s="20">
        <f t="shared" si="40"/>
        <v>0</v>
      </c>
    </row>
    <row r="99" spans="1:19">
      <c r="A99" s="252"/>
      <c r="B99" s="8" t="s">
        <v>11</v>
      </c>
      <c r="C99" s="8"/>
      <c r="D99" s="1">
        <f>SUM(D91:D97)</f>
        <v>3751</v>
      </c>
      <c r="E99" s="1">
        <f>SUM(E91:E97)</f>
        <v>3751</v>
      </c>
      <c r="F99" s="1">
        <f>SUM(N99:Q99)</f>
        <v>64066</v>
      </c>
      <c r="G99" s="1">
        <f t="shared" ref="G99:L99" si="49">SUM(G92:G97)</f>
        <v>63896</v>
      </c>
      <c r="H99" s="1">
        <f t="shared" si="49"/>
        <v>63726</v>
      </c>
      <c r="I99" s="1">
        <f t="shared" si="49"/>
        <v>63556</v>
      </c>
      <c r="J99" s="1">
        <f t="shared" si="49"/>
        <v>63386</v>
      </c>
      <c r="K99" s="1">
        <f t="shared" si="49"/>
        <v>63216</v>
      </c>
      <c r="L99" s="1">
        <f t="shared" si="49"/>
        <v>63216</v>
      </c>
      <c r="M99" s="51"/>
      <c r="N99" s="1">
        <f>SUM(N91:N97)</f>
        <v>3751</v>
      </c>
      <c r="P99" s="1">
        <f>SUM(P87:P97)</f>
        <v>0</v>
      </c>
      <c r="Q99" s="1">
        <f>SUM(Q87:Q97)</f>
        <v>60315</v>
      </c>
      <c r="R99" s="114"/>
      <c r="S99" s="1">
        <f t="shared" si="40"/>
        <v>64066</v>
      </c>
    </row>
    <row r="100" spans="1:19" ht="3" customHeight="1">
      <c r="A100" s="252"/>
      <c r="B100" s="5"/>
      <c r="C100" s="5"/>
      <c r="D100" s="19"/>
      <c r="E100" s="19"/>
      <c r="F100" s="19"/>
      <c r="G100" s="19"/>
      <c r="H100" s="19"/>
      <c r="I100" s="19"/>
      <c r="J100" s="19"/>
      <c r="K100" s="19"/>
      <c r="L100" s="19"/>
      <c r="N100" s="19"/>
      <c r="P100" s="19"/>
      <c r="Q100" s="19"/>
      <c r="R100" s="24"/>
      <c r="S100" s="19">
        <f t="shared" si="40"/>
        <v>0</v>
      </c>
    </row>
    <row r="101" spans="1:19" ht="14.65" thickBot="1">
      <c r="A101" s="252"/>
      <c r="B101" s="40" t="s">
        <v>12</v>
      </c>
      <c r="C101" s="40"/>
      <c r="D101" s="18">
        <f t="shared" ref="D101:F101" si="50">D99+D89+D84</f>
        <v>27500</v>
      </c>
      <c r="E101" s="18">
        <f t="shared" si="50"/>
        <v>26076</v>
      </c>
      <c r="F101" s="18">
        <f t="shared" si="50"/>
        <v>82896</v>
      </c>
      <c r="G101" s="18">
        <f t="shared" ref="G101:L101" ca="1" si="51">G99+G89+G84</f>
        <v>84734.440799999997</v>
      </c>
      <c r="H101" s="18">
        <f t="shared" ca="1" si="51"/>
        <v>87070.006764999998</v>
      </c>
      <c r="I101" s="18">
        <f t="shared" ca="1" si="51"/>
        <v>89178.047903250001</v>
      </c>
      <c r="J101" s="18">
        <f t="shared" ca="1" si="51"/>
        <v>91840.17234841251</v>
      </c>
      <c r="K101" s="18">
        <f t="shared" ca="1" si="51"/>
        <v>95076.771765833124</v>
      </c>
      <c r="L101" s="18">
        <f t="shared" ca="1" si="51"/>
        <v>103446.63240412477</v>
      </c>
      <c r="M101" s="43"/>
      <c r="N101" s="18">
        <f>N99+N89+N84</f>
        <v>22581</v>
      </c>
      <c r="P101" s="18">
        <f>P99+P84</f>
        <v>76350</v>
      </c>
      <c r="Q101" s="18">
        <f>Q99+Q84</f>
        <v>-16035</v>
      </c>
      <c r="R101" s="43"/>
      <c r="S101" s="18">
        <f t="shared" si="40"/>
        <v>82896</v>
      </c>
    </row>
    <row r="102" spans="1:19" ht="14.65" thickTop="1">
      <c r="A102" s="252"/>
      <c r="B102" s="5"/>
      <c r="C102" s="5"/>
      <c r="D102" s="19"/>
      <c r="E102" s="19"/>
      <c r="F102" s="19"/>
      <c r="G102" s="19"/>
      <c r="H102" s="19"/>
      <c r="I102" s="19"/>
      <c r="J102" s="19"/>
      <c r="K102" s="19"/>
      <c r="L102" s="19"/>
      <c r="N102" s="19"/>
      <c r="P102" s="19"/>
      <c r="Q102" s="19"/>
      <c r="R102" s="24"/>
      <c r="S102" s="19"/>
    </row>
    <row r="103" spans="1:19">
      <c r="A103" s="252"/>
      <c r="B103" s="6" t="s">
        <v>13</v>
      </c>
      <c r="C103" s="6"/>
      <c r="D103" s="19"/>
      <c r="E103" s="19"/>
      <c r="F103" s="19"/>
      <c r="G103" s="19"/>
      <c r="H103" s="19"/>
      <c r="I103" s="19"/>
      <c r="J103" s="19"/>
      <c r="K103" s="19"/>
      <c r="L103" s="19"/>
      <c r="N103" s="19"/>
      <c r="P103" s="19"/>
      <c r="Q103" s="19"/>
      <c r="R103" s="24"/>
      <c r="S103" s="19"/>
    </row>
    <row r="104" spans="1:19">
      <c r="A104" s="252"/>
      <c r="B104" s="5" t="s">
        <v>14</v>
      </c>
      <c r="C104" s="5"/>
      <c r="D104" s="19"/>
      <c r="E104" s="19"/>
      <c r="F104" s="19"/>
      <c r="G104" s="19"/>
      <c r="H104" s="19"/>
      <c r="I104" s="19"/>
      <c r="J104" s="19"/>
      <c r="K104" s="19"/>
      <c r="L104" s="19"/>
      <c r="N104" s="19"/>
      <c r="P104" s="19"/>
      <c r="Q104" s="19"/>
      <c r="R104" s="24"/>
      <c r="S104" s="19"/>
    </row>
    <row r="105" spans="1:19">
      <c r="A105" s="252"/>
      <c r="B105" s="116" t="s">
        <v>145</v>
      </c>
      <c r="C105" s="203"/>
      <c r="D105" s="214">
        <v>1537</v>
      </c>
      <c r="E105" s="214">
        <v>1613</v>
      </c>
      <c r="F105" s="21">
        <f t="shared" ref="F105:F108" si="52">SUM(N105:Q105)</f>
        <v>1583</v>
      </c>
      <c r="G105" s="324">
        <f>(G$14/G$9*12)/365*G143</f>
        <v>1656.55</v>
      </c>
      <c r="H105" s="21">
        <f>H14/365*H143</f>
        <v>1739.3774999999998</v>
      </c>
      <c r="I105" s="21">
        <f>I14/365*I143</f>
        <v>1826.3463749999999</v>
      </c>
      <c r="J105" s="21">
        <f>J14/365*J143</f>
        <v>1917.6636937500002</v>
      </c>
      <c r="K105" s="21">
        <f>K14/365*K143</f>
        <v>2013.5468784375003</v>
      </c>
      <c r="L105" s="21">
        <f>L14/365*L143</f>
        <v>2114.2242223593748</v>
      </c>
      <c r="M105" s="197"/>
      <c r="N105" s="214">
        <v>1583</v>
      </c>
      <c r="P105" s="21"/>
      <c r="Q105" s="21"/>
      <c r="R105" s="24"/>
      <c r="S105" s="21">
        <f t="shared" ref="S105:S110" si="53">F105</f>
        <v>1583</v>
      </c>
    </row>
    <row r="106" spans="1:19">
      <c r="A106" s="252"/>
      <c r="B106" s="116" t="s">
        <v>146</v>
      </c>
      <c r="C106" s="203"/>
      <c r="D106" s="214">
        <v>3663</v>
      </c>
      <c r="E106" s="214">
        <v>3663</v>
      </c>
      <c r="F106" s="21">
        <f t="shared" si="52"/>
        <v>3663</v>
      </c>
      <c r="G106" s="21">
        <f t="shared" ref="G106:L106" si="54">(G$14/G$9*12)/365*G142</f>
        <v>3846.15</v>
      </c>
      <c r="H106" s="21">
        <f t="shared" si="54"/>
        <v>4038.4575</v>
      </c>
      <c r="I106" s="21">
        <f t="shared" si="54"/>
        <v>4240.3803749999997</v>
      </c>
      <c r="J106" s="21">
        <f t="shared" si="54"/>
        <v>4452.3993937500009</v>
      </c>
      <c r="K106" s="21">
        <f t="shared" si="54"/>
        <v>4675.0193634375009</v>
      </c>
      <c r="L106" s="21">
        <f t="shared" si="54"/>
        <v>4908.7703316093748</v>
      </c>
      <c r="M106" s="197"/>
      <c r="N106" s="214">
        <v>3663</v>
      </c>
      <c r="P106" s="21"/>
      <c r="Q106" s="21"/>
      <c r="R106" s="24"/>
      <c r="S106" s="21">
        <f t="shared" si="53"/>
        <v>3663</v>
      </c>
    </row>
    <row r="107" spans="1:19">
      <c r="A107" s="252"/>
      <c r="B107" s="116" t="s">
        <v>133</v>
      </c>
      <c r="C107" s="203"/>
      <c r="D107" s="214">
        <v>1500</v>
      </c>
      <c r="E107" s="214">
        <v>1500</v>
      </c>
      <c r="F107" s="21">
        <f t="shared" si="52"/>
        <v>0</v>
      </c>
      <c r="G107" s="21">
        <f t="shared" ref="G107" si="55">F107</f>
        <v>0</v>
      </c>
      <c r="H107" s="21">
        <f t="shared" ref="H107" si="56">G107</f>
        <v>0</v>
      </c>
      <c r="I107" s="21">
        <f t="shared" ref="I107" si="57">H107</f>
        <v>0</v>
      </c>
      <c r="J107" s="21">
        <f t="shared" ref="J107" si="58">I107</f>
        <v>0</v>
      </c>
      <c r="K107" s="21">
        <f t="shared" ref="K107" si="59">J107</f>
        <v>0</v>
      </c>
      <c r="L107" s="21">
        <f t="shared" ref="L107" si="60">K107</f>
        <v>0</v>
      </c>
      <c r="M107" s="197"/>
      <c r="N107" s="214">
        <v>0</v>
      </c>
      <c r="P107" s="21"/>
      <c r="Q107" s="21"/>
      <c r="R107" s="24"/>
      <c r="S107" s="21">
        <f t="shared" si="53"/>
        <v>0</v>
      </c>
    </row>
    <row r="108" spans="1:19">
      <c r="A108" s="252"/>
      <c r="B108" s="116" t="s">
        <v>147</v>
      </c>
      <c r="C108" s="203"/>
      <c r="D108" s="214">
        <v>0</v>
      </c>
      <c r="E108" s="214">
        <v>0</v>
      </c>
      <c r="F108" s="21">
        <f t="shared" si="52"/>
        <v>0</v>
      </c>
      <c r="G108" s="21">
        <f t="shared" ref="G108:L108" si="61">F108</f>
        <v>0</v>
      </c>
      <c r="H108" s="21">
        <f t="shared" si="61"/>
        <v>0</v>
      </c>
      <c r="I108" s="21">
        <f t="shared" si="61"/>
        <v>0</v>
      </c>
      <c r="J108" s="21">
        <f t="shared" si="61"/>
        <v>0</v>
      </c>
      <c r="K108" s="21">
        <f t="shared" si="61"/>
        <v>0</v>
      </c>
      <c r="L108" s="21">
        <f t="shared" si="61"/>
        <v>0</v>
      </c>
      <c r="M108" s="197"/>
      <c r="N108" s="214">
        <v>0</v>
      </c>
      <c r="P108" s="21"/>
      <c r="Q108" s="21"/>
      <c r="R108" s="24"/>
      <c r="S108" s="21">
        <f t="shared" si="53"/>
        <v>0</v>
      </c>
    </row>
    <row r="109" spans="1:19" ht="3" customHeight="1">
      <c r="A109" s="252"/>
      <c r="B109" s="38"/>
      <c r="C109" s="38"/>
      <c r="D109" s="20"/>
      <c r="E109" s="20"/>
      <c r="F109" s="20"/>
      <c r="G109" s="20"/>
      <c r="H109" s="20"/>
      <c r="I109" s="20"/>
      <c r="J109" s="20"/>
      <c r="K109" s="20"/>
      <c r="L109" s="20"/>
      <c r="N109" s="20"/>
      <c r="P109" s="20"/>
      <c r="Q109" s="20"/>
      <c r="S109" s="20">
        <f t="shared" si="53"/>
        <v>0</v>
      </c>
    </row>
    <row r="110" spans="1:19">
      <c r="A110" s="252"/>
      <c r="B110" s="8" t="s">
        <v>15</v>
      </c>
      <c r="C110" s="8"/>
      <c r="D110" s="19">
        <f>SUM(D104:D108)</f>
        <v>6700</v>
      </c>
      <c r="E110" s="19">
        <f>SUM(E104:E108)</f>
        <v>6776</v>
      </c>
      <c r="F110" s="19">
        <f t="shared" ref="F110:L110" si="62">SUM(F105:F108)</f>
        <v>5246</v>
      </c>
      <c r="G110" s="19">
        <f t="shared" si="62"/>
        <v>5502.7</v>
      </c>
      <c r="H110" s="19">
        <f t="shared" si="62"/>
        <v>5777.835</v>
      </c>
      <c r="I110" s="19">
        <f t="shared" si="62"/>
        <v>6066.7267499999998</v>
      </c>
      <c r="J110" s="19">
        <f t="shared" si="62"/>
        <v>6370.0630875000006</v>
      </c>
      <c r="K110" s="19">
        <f t="shared" si="62"/>
        <v>6688.5662418750017</v>
      </c>
      <c r="L110" s="19">
        <f t="shared" si="62"/>
        <v>7022.9945539687496</v>
      </c>
      <c r="M110" s="52"/>
      <c r="N110" s="19">
        <f>SUM(N104:N108)</f>
        <v>5246</v>
      </c>
      <c r="P110" s="19">
        <f>SUM(P104:P108)</f>
        <v>0</v>
      </c>
      <c r="Q110" s="19">
        <f>SUM(Q104:Q108)</f>
        <v>0</v>
      </c>
      <c r="R110" s="19"/>
      <c r="S110" s="19">
        <f t="shared" si="53"/>
        <v>5246</v>
      </c>
    </row>
    <row r="111" spans="1:19">
      <c r="A111" s="252"/>
      <c r="B111" s="8"/>
      <c r="C111" s="8"/>
      <c r="D111" s="19"/>
      <c r="E111" s="19"/>
      <c r="F111" s="19"/>
      <c r="G111" s="19"/>
      <c r="H111" s="19"/>
      <c r="I111" s="19"/>
      <c r="J111" s="19"/>
      <c r="K111" s="19"/>
      <c r="L111" s="19"/>
      <c r="N111" s="19"/>
      <c r="P111" s="19"/>
      <c r="Q111" s="19"/>
      <c r="S111" s="19"/>
    </row>
    <row r="112" spans="1:19">
      <c r="A112" s="252"/>
      <c r="B112" s="19" t="s">
        <v>16</v>
      </c>
      <c r="C112" s="19"/>
      <c r="D112" s="21"/>
      <c r="E112" s="21"/>
      <c r="F112" s="21"/>
      <c r="G112" s="21"/>
      <c r="H112" s="21"/>
      <c r="I112" s="21"/>
      <c r="J112" s="21"/>
      <c r="K112" s="21"/>
      <c r="L112" s="21"/>
      <c r="N112" s="21"/>
      <c r="O112" s="28"/>
      <c r="P112" s="21"/>
      <c r="Q112" s="21"/>
      <c r="R112" s="28"/>
      <c r="S112" s="21"/>
    </row>
    <row r="113" spans="1:19">
      <c r="A113" s="252"/>
      <c r="B113" s="7" t="s">
        <v>114</v>
      </c>
      <c r="C113" s="7"/>
      <c r="D113" s="214">
        <v>0</v>
      </c>
      <c r="E113" s="214">
        <v>0</v>
      </c>
      <c r="F113" s="21">
        <f>SUM(N113:Q113)</f>
        <v>0</v>
      </c>
      <c r="G113" s="21">
        <f>F113</f>
        <v>0</v>
      </c>
      <c r="H113" s="21">
        <f t="shared" ref="H113:L114" si="63">G113</f>
        <v>0</v>
      </c>
      <c r="I113" s="21">
        <f t="shared" si="63"/>
        <v>0</v>
      </c>
      <c r="J113" s="21">
        <f t="shared" si="63"/>
        <v>0</v>
      </c>
      <c r="K113" s="21">
        <f t="shared" si="63"/>
        <v>0</v>
      </c>
      <c r="L113" s="21">
        <f t="shared" si="63"/>
        <v>0</v>
      </c>
      <c r="M113" s="197"/>
      <c r="N113" s="214">
        <v>0</v>
      </c>
      <c r="O113" s="28"/>
      <c r="P113" s="21"/>
      <c r="Q113" s="21"/>
      <c r="R113" s="28"/>
      <c r="S113" s="21">
        <f t="shared" ref="S113:S114" si="64">F113</f>
        <v>0</v>
      </c>
    </row>
    <row r="114" spans="1:19">
      <c r="A114" s="252"/>
      <c r="B114" s="7" t="s">
        <v>168</v>
      </c>
      <c r="C114" s="7"/>
      <c r="D114" s="214">
        <v>1800</v>
      </c>
      <c r="E114" s="214">
        <v>1800</v>
      </c>
      <c r="F114" s="21">
        <f>SUM(N114:Q114)</f>
        <v>1800</v>
      </c>
      <c r="G114" s="21">
        <f>F114</f>
        <v>1800</v>
      </c>
      <c r="H114" s="21">
        <f t="shared" si="63"/>
        <v>1800</v>
      </c>
      <c r="I114" s="21">
        <f t="shared" si="63"/>
        <v>1800</v>
      </c>
      <c r="J114" s="21">
        <f t="shared" si="63"/>
        <v>1800</v>
      </c>
      <c r="K114" s="21">
        <f t="shared" si="63"/>
        <v>1800</v>
      </c>
      <c r="L114" s="21">
        <f t="shared" si="63"/>
        <v>1800</v>
      </c>
      <c r="M114" s="197"/>
      <c r="N114" s="214">
        <v>1800</v>
      </c>
      <c r="O114" s="28"/>
      <c r="P114" s="21"/>
      <c r="Q114" s="21"/>
      <c r="R114" s="28"/>
      <c r="S114" s="21">
        <f t="shared" si="64"/>
        <v>1800</v>
      </c>
    </row>
    <row r="115" spans="1:19">
      <c r="A115" s="252"/>
      <c r="B115" s="19"/>
      <c r="C115" s="19"/>
      <c r="D115" s="195"/>
      <c r="E115" s="195"/>
      <c r="F115" s="21"/>
      <c r="G115" s="21"/>
      <c r="H115" s="21"/>
      <c r="I115" s="21"/>
      <c r="J115" s="21"/>
      <c r="K115" s="21"/>
      <c r="L115" s="21"/>
      <c r="M115" s="197"/>
      <c r="N115" s="195"/>
      <c r="O115" s="28"/>
      <c r="P115" s="21"/>
      <c r="Q115" s="21"/>
      <c r="R115" s="28"/>
      <c r="S115" s="21"/>
    </row>
    <row r="116" spans="1:19">
      <c r="A116" s="252"/>
      <c r="B116" s="7" t="s">
        <v>107</v>
      </c>
      <c r="C116" s="7"/>
      <c r="D116" s="214">
        <v>0</v>
      </c>
      <c r="E116" s="214">
        <v>0</v>
      </c>
      <c r="F116" s="21">
        <f t="shared" ref="F116:F118" si="65">SUM(N116:Q116)</f>
        <v>0</v>
      </c>
      <c r="G116" s="21">
        <f t="shared" ref="G116:G117" si="66">F116</f>
        <v>0</v>
      </c>
      <c r="H116" s="21">
        <f t="shared" ref="H116:L118" si="67">G116</f>
        <v>0</v>
      </c>
      <c r="I116" s="21">
        <f t="shared" si="67"/>
        <v>0</v>
      </c>
      <c r="J116" s="21">
        <f t="shared" si="67"/>
        <v>0</v>
      </c>
      <c r="K116" s="21">
        <f t="shared" si="67"/>
        <v>0</v>
      </c>
      <c r="L116" s="21">
        <f t="shared" si="67"/>
        <v>0</v>
      </c>
      <c r="M116" s="197"/>
      <c r="N116" s="214">
        <v>0</v>
      </c>
      <c r="O116" s="28"/>
      <c r="P116" s="21"/>
      <c r="Q116" s="21">
        <f t="shared" ref="Q116:Q118" si="68">-N116</f>
        <v>0</v>
      </c>
      <c r="R116" s="28"/>
      <c r="S116" s="21">
        <f t="shared" ref="S116:S118" si="69">F116</f>
        <v>0</v>
      </c>
    </row>
    <row r="117" spans="1:19">
      <c r="A117" s="252"/>
      <c r="B117" s="7" t="s">
        <v>112</v>
      </c>
      <c r="C117" s="7"/>
      <c r="D117" s="214">
        <v>0</v>
      </c>
      <c r="E117" s="214">
        <v>0</v>
      </c>
      <c r="F117" s="21">
        <f t="shared" si="65"/>
        <v>0</v>
      </c>
      <c r="G117" s="21">
        <f t="shared" si="66"/>
        <v>0</v>
      </c>
      <c r="H117" s="21">
        <f t="shared" si="67"/>
        <v>0</v>
      </c>
      <c r="I117" s="21">
        <f t="shared" si="67"/>
        <v>0</v>
      </c>
      <c r="J117" s="21">
        <f t="shared" si="67"/>
        <v>0</v>
      </c>
      <c r="K117" s="21">
        <f t="shared" si="67"/>
        <v>0</v>
      </c>
      <c r="L117" s="21">
        <f t="shared" si="67"/>
        <v>0</v>
      </c>
      <c r="M117" s="197"/>
      <c r="N117" s="214">
        <v>0</v>
      </c>
      <c r="O117" s="28"/>
      <c r="P117" s="21"/>
      <c r="Q117" s="21">
        <f t="shared" si="68"/>
        <v>0</v>
      </c>
      <c r="R117" s="28"/>
      <c r="S117" s="21">
        <f t="shared" si="69"/>
        <v>0</v>
      </c>
    </row>
    <row r="118" spans="1:19">
      <c r="A118" s="252"/>
      <c r="B118" s="321" t="s">
        <v>90</v>
      </c>
      <c r="C118" s="7"/>
      <c r="D118" s="214">
        <v>14000</v>
      </c>
      <c r="E118" s="214">
        <v>12500</v>
      </c>
      <c r="F118" s="21">
        <f t="shared" si="65"/>
        <v>0</v>
      </c>
      <c r="G118" s="21">
        <f>F118</f>
        <v>0</v>
      </c>
      <c r="H118" s="21">
        <f t="shared" si="67"/>
        <v>0</v>
      </c>
      <c r="I118" s="21">
        <f t="shared" si="67"/>
        <v>0</v>
      </c>
      <c r="J118" s="21">
        <f t="shared" si="67"/>
        <v>0</v>
      </c>
      <c r="K118" s="21">
        <f t="shared" si="67"/>
        <v>0</v>
      </c>
      <c r="L118" s="21">
        <f t="shared" si="67"/>
        <v>0</v>
      </c>
      <c r="M118" s="197"/>
      <c r="N118" s="214">
        <v>12500</v>
      </c>
      <c r="O118" s="28"/>
      <c r="P118" s="21"/>
      <c r="Q118" s="21">
        <f t="shared" si="68"/>
        <v>-12500</v>
      </c>
      <c r="R118" s="28"/>
      <c r="S118" s="21">
        <f t="shared" si="69"/>
        <v>0</v>
      </c>
    </row>
    <row r="119" spans="1:19">
      <c r="A119" s="252"/>
      <c r="B119" s="7"/>
      <c r="C119" s="7"/>
      <c r="D119" s="195"/>
      <c r="E119" s="195"/>
      <c r="F119" s="21"/>
      <c r="G119" s="21"/>
      <c r="H119" s="21"/>
      <c r="I119" s="21"/>
      <c r="J119" s="21"/>
      <c r="K119" s="21"/>
      <c r="L119" s="21"/>
      <c r="M119" s="197"/>
      <c r="N119" s="195"/>
      <c r="O119" s="28"/>
      <c r="P119" s="21"/>
      <c r="Q119" s="21"/>
      <c r="R119" s="28"/>
      <c r="S119" s="21"/>
    </row>
    <row r="120" spans="1:19">
      <c r="A120" s="252"/>
      <c r="B120" s="7" t="s">
        <v>91</v>
      </c>
      <c r="C120" s="7"/>
      <c r="D120" s="214">
        <v>0</v>
      </c>
      <c r="E120" s="214">
        <v>0</v>
      </c>
      <c r="F120" s="21">
        <f t="shared" ref="F120:F122" si="70">SUM(N120:Q120)</f>
        <v>0</v>
      </c>
      <c r="G120" s="21">
        <f ca="1">'Debt Schedule'!E30</f>
        <v>0</v>
      </c>
      <c r="H120" s="21">
        <f ca="1">'Debt Schedule'!F30</f>
        <v>0</v>
      </c>
      <c r="I120" s="21">
        <f ca="1">'Debt Schedule'!G30</f>
        <v>0</v>
      </c>
      <c r="J120" s="21">
        <f ca="1">'Debt Schedule'!H30</f>
        <v>0</v>
      </c>
      <c r="K120" s="21">
        <f ca="1">'Debt Schedule'!I30</f>
        <v>0</v>
      </c>
      <c r="L120" s="21">
        <f ca="1">'Debt Schedule'!J30</f>
        <v>0</v>
      </c>
      <c r="M120" s="197"/>
      <c r="N120" s="214">
        <v>0</v>
      </c>
      <c r="P120" s="21">
        <f>Q61</f>
        <v>0</v>
      </c>
      <c r="Q120" s="21"/>
      <c r="S120" s="21">
        <f t="shared" ref="S120:S122" si="71">F120</f>
        <v>0</v>
      </c>
    </row>
    <row r="121" spans="1:19">
      <c r="A121" s="252"/>
      <c r="B121" s="7" t="s">
        <v>156</v>
      </c>
      <c r="C121" s="7"/>
      <c r="D121" s="214">
        <v>0</v>
      </c>
      <c r="E121" s="214">
        <v>0</v>
      </c>
      <c r="F121" s="51">
        <f t="shared" si="70"/>
        <v>10000</v>
      </c>
      <c r="G121" s="51">
        <f>'Debt Schedule'!E46</f>
        <v>10000</v>
      </c>
      <c r="H121" s="51">
        <f>'Debt Schedule'!F46</f>
        <v>10000</v>
      </c>
      <c r="I121" s="51">
        <f>'Debt Schedule'!G46</f>
        <v>10000</v>
      </c>
      <c r="J121" s="51">
        <f>'Debt Schedule'!H46</f>
        <v>10000</v>
      </c>
      <c r="K121" s="51">
        <f>'Debt Schedule'!I46</f>
        <v>10000</v>
      </c>
      <c r="L121" s="51">
        <f>'Debt Schedule'!J46</f>
        <v>10000</v>
      </c>
      <c r="M121" s="197"/>
      <c r="N121" s="214">
        <v>0</v>
      </c>
      <c r="P121" s="51">
        <f>Q59</f>
        <v>10000</v>
      </c>
      <c r="Q121" s="21"/>
      <c r="S121" s="51">
        <f t="shared" si="71"/>
        <v>10000</v>
      </c>
    </row>
    <row r="122" spans="1:19">
      <c r="A122" s="252"/>
      <c r="B122" s="41" t="s">
        <v>100</v>
      </c>
      <c r="C122" s="207"/>
      <c r="D122" s="214">
        <v>0</v>
      </c>
      <c r="E122" s="214">
        <v>0</v>
      </c>
      <c r="F122" s="49">
        <f t="shared" si="70"/>
        <v>30000</v>
      </c>
      <c r="G122" s="20">
        <f>'Debt Schedule'!E37</f>
        <v>26250</v>
      </c>
      <c r="H122" s="20">
        <f>'Debt Schedule'!F37</f>
        <v>22500</v>
      </c>
      <c r="I122" s="20">
        <f>'Debt Schedule'!G37</f>
        <v>18000</v>
      </c>
      <c r="J122" s="20">
        <f>'Debt Schedule'!H37</f>
        <v>13500</v>
      </c>
      <c r="K122" s="20">
        <f>'Debt Schedule'!I37</f>
        <v>9000</v>
      </c>
      <c r="L122" s="20">
        <f>'Debt Schedule'!J37</f>
        <v>9000</v>
      </c>
      <c r="M122" s="197"/>
      <c r="N122" s="214">
        <v>0</v>
      </c>
      <c r="P122" s="49">
        <f>Q60</f>
        <v>30000</v>
      </c>
      <c r="Q122" s="20"/>
      <c r="S122" s="49">
        <f t="shared" si="71"/>
        <v>30000</v>
      </c>
    </row>
    <row r="123" spans="1:19">
      <c r="A123" s="252"/>
      <c r="B123" s="7" t="s">
        <v>17</v>
      </c>
      <c r="C123" s="354"/>
      <c r="D123" s="187">
        <f t="shared" ref="D123:F123" si="72">SUM(D116:D118,D120:D122)</f>
        <v>14000</v>
      </c>
      <c r="E123" s="187">
        <f t="shared" si="72"/>
        <v>12500</v>
      </c>
      <c r="F123" s="19">
        <f t="shared" si="72"/>
        <v>40000</v>
      </c>
      <c r="G123" s="19">
        <f t="shared" ref="G123:L123" ca="1" si="73">SUM(G116:G118,G120:G122)</f>
        <v>36250</v>
      </c>
      <c r="H123" s="19">
        <f t="shared" ca="1" si="73"/>
        <v>32500</v>
      </c>
      <c r="I123" s="19">
        <f t="shared" ca="1" si="73"/>
        <v>28000</v>
      </c>
      <c r="J123" s="19">
        <f t="shared" ca="1" si="73"/>
        <v>23500</v>
      </c>
      <c r="K123" s="19">
        <f t="shared" ca="1" si="73"/>
        <v>19000</v>
      </c>
      <c r="L123" s="19">
        <f t="shared" ca="1" si="73"/>
        <v>19000</v>
      </c>
      <c r="M123" s="52"/>
      <c r="N123" s="187">
        <f>SUM(N116:N122)</f>
        <v>12500</v>
      </c>
      <c r="P123" s="19">
        <f>SUM(P116:P122)</f>
        <v>40000</v>
      </c>
      <c r="Q123" s="19">
        <f>SUM(Q116:Q122)</f>
        <v>-12500</v>
      </c>
      <c r="R123" s="19"/>
      <c r="S123" s="19">
        <f>F123</f>
        <v>40000</v>
      </c>
    </row>
    <row r="124" spans="1:19">
      <c r="A124" s="252"/>
      <c r="B124" s="41"/>
      <c r="C124" s="207"/>
      <c r="D124" s="19"/>
      <c r="E124" s="19"/>
      <c r="F124" s="19"/>
      <c r="G124" s="19"/>
      <c r="H124" s="19"/>
      <c r="I124" s="19"/>
      <c r="J124" s="19"/>
      <c r="K124" s="19"/>
      <c r="L124" s="19"/>
      <c r="N124" s="19"/>
      <c r="P124" s="19"/>
      <c r="Q124" s="19"/>
      <c r="R124" s="24"/>
      <c r="S124" s="19"/>
    </row>
    <row r="125" spans="1:19">
      <c r="A125" s="252"/>
      <c r="B125" s="42" t="s">
        <v>18</v>
      </c>
      <c r="C125" s="355"/>
      <c r="D125" s="22">
        <f t="shared" ref="D125:F125" si="74">D123+D110+D113+D114</f>
        <v>22500</v>
      </c>
      <c r="E125" s="22">
        <f t="shared" si="74"/>
        <v>21076</v>
      </c>
      <c r="F125" s="22">
        <f t="shared" si="74"/>
        <v>47046</v>
      </c>
      <c r="G125" s="22">
        <f t="shared" ref="G125:L125" ca="1" si="75">G123+G110+G113+G114</f>
        <v>43552.7</v>
      </c>
      <c r="H125" s="22">
        <f t="shared" ca="1" si="75"/>
        <v>40077.834999999999</v>
      </c>
      <c r="I125" s="22">
        <f t="shared" ca="1" si="75"/>
        <v>35866.726750000002</v>
      </c>
      <c r="J125" s="22">
        <f t="shared" ca="1" si="75"/>
        <v>31670.063087499999</v>
      </c>
      <c r="K125" s="22">
        <f t="shared" ca="1" si="75"/>
        <v>27488.566241875</v>
      </c>
      <c r="L125" s="22">
        <f t="shared" ca="1" si="75"/>
        <v>27822.994553968751</v>
      </c>
      <c r="M125" s="52"/>
      <c r="N125" s="22">
        <f>N123+N110+N113+N114</f>
        <v>19546</v>
      </c>
      <c r="P125" s="22">
        <f>P123+P110+P113+P114</f>
        <v>40000</v>
      </c>
      <c r="Q125" s="22">
        <f>Q123+Q110+Q113+Q114</f>
        <v>-12500</v>
      </c>
      <c r="R125" s="52"/>
      <c r="S125" s="22">
        <f>S123+S110+S113+S114</f>
        <v>47046</v>
      </c>
    </row>
    <row r="126" spans="1:19">
      <c r="A126" s="252"/>
      <c r="B126" s="5"/>
      <c r="C126" s="5"/>
      <c r="D126" s="19"/>
      <c r="E126" s="19"/>
      <c r="F126" s="19"/>
      <c r="G126" s="19"/>
      <c r="H126" s="19"/>
      <c r="I126" s="19"/>
      <c r="J126" s="19"/>
      <c r="K126" s="19"/>
      <c r="L126" s="19"/>
      <c r="N126" s="19"/>
      <c r="P126" s="19"/>
      <c r="Q126" s="19"/>
      <c r="R126" s="24"/>
      <c r="S126" s="19"/>
    </row>
    <row r="127" spans="1:19">
      <c r="A127" s="252"/>
      <c r="B127" s="6" t="s">
        <v>19</v>
      </c>
      <c r="C127" s="6"/>
      <c r="D127" s="19"/>
      <c r="E127" s="19"/>
      <c r="F127" s="19"/>
      <c r="G127" s="19"/>
      <c r="H127" s="19"/>
      <c r="I127" s="19"/>
      <c r="J127" s="19"/>
      <c r="K127" s="19"/>
      <c r="L127" s="19"/>
      <c r="N127" s="19"/>
      <c r="P127" s="19"/>
      <c r="Q127" s="19"/>
      <c r="R127" s="24"/>
      <c r="S127" s="19"/>
    </row>
    <row r="128" spans="1:19">
      <c r="A128" s="411"/>
      <c r="B128" s="5" t="s">
        <v>232</v>
      </c>
      <c r="C128" s="6"/>
      <c r="D128" s="214">
        <v>0</v>
      </c>
      <c r="E128" s="214">
        <v>0</v>
      </c>
      <c r="F128" s="21">
        <f t="shared" ref="F128:F131" si="76">SUM(N128:Q128)</f>
        <v>32500</v>
      </c>
      <c r="G128" s="21">
        <f ca="1">'Debt Schedule'!E53</f>
        <v>35208.333333333336</v>
      </c>
      <c r="H128" s="21">
        <f ca="1">'Debt Schedule'!F53</f>
        <v>38142.361111111109</v>
      </c>
      <c r="I128" s="21">
        <f ca="1">'Debt Schedule'!G53</f>
        <v>41320.891203703701</v>
      </c>
      <c r="J128" s="21">
        <f ca="1">'Debt Schedule'!H53</f>
        <v>44764.298804012345</v>
      </c>
      <c r="K128" s="21">
        <f ca="1">'Debt Schedule'!I53</f>
        <v>48494.657037680037</v>
      </c>
      <c r="L128" s="21">
        <f ca="1">'Debt Schedule'!J53</f>
        <v>52535.87845748671</v>
      </c>
      <c r="M128" s="197"/>
      <c r="N128" s="320">
        <v>0</v>
      </c>
      <c r="P128" s="21">
        <f>Q58</f>
        <v>32500</v>
      </c>
      <c r="Q128" s="21"/>
      <c r="R128" s="24"/>
      <c r="S128" s="21">
        <f t="shared" ref="S128:S135" si="77">F128</f>
        <v>32500</v>
      </c>
    </row>
    <row r="129" spans="1:19">
      <c r="A129" s="252"/>
      <c r="B129" s="5" t="s">
        <v>271</v>
      </c>
      <c r="C129" s="5"/>
      <c r="D129" s="214">
        <v>5000</v>
      </c>
      <c r="E129" s="214">
        <v>5000</v>
      </c>
      <c r="F129" s="21">
        <f t="shared" si="76"/>
        <v>3350</v>
      </c>
      <c r="G129" s="21">
        <f>F129</f>
        <v>3350</v>
      </c>
      <c r="H129" s="21">
        <f t="shared" ref="H129:L129" si="78">G129</f>
        <v>3350</v>
      </c>
      <c r="I129" s="21">
        <f t="shared" si="78"/>
        <v>3350</v>
      </c>
      <c r="J129" s="21">
        <f t="shared" si="78"/>
        <v>3350</v>
      </c>
      <c r="K129" s="21">
        <f t="shared" si="78"/>
        <v>3350</v>
      </c>
      <c r="L129" s="21">
        <f t="shared" si="78"/>
        <v>3350</v>
      </c>
      <c r="M129" s="197"/>
      <c r="N129" s="320">
        <f>5000-1965</f>
        <v>3035</v>
      </c>
      <c r="P129" s="21">
        <f>Q56</f>
        <v>3350</v>
      </c>
      <c r="Q129" s="21">
        <f>-N129</f>
        <v>-3035</v>
      </c>
      <c r="R129" s="24"/>
      <c r="S129" s="21">
        <f t="shared" si="77"/>
        <v>3350</v>
      </c>
    </row>
    <row r="130" spans="1:19">
      <c r="A130" s="469"/>
      <c r="B130" s="5" t="s">
        <v>263</v>
      </c>
      <c r="C130" s="5"/>
      <c r="D130" s="214">
        <v>0</v>
      </c>
      <c r="E130" s="214">
        <v>0</v>
      </c>
      <c r="F130" s="21">
        <f t="shared" si="76"/>
        <v>500</v>
      </c>
      <c r="G130" s="21">
        <f>F130</f>
        <v>500</v>
      </c>
      <c r="H130" s="21">
        <f t="shared" ref="H130" si="79">G130</f>
        <v>500</v>
      </c>
      <c r="I130" s="21">
        <f t="shared" ref="I130" si="80">H130</f>
        <v>500</v>
      </c>
      <c r="J130" s="21">
        <f t="shared" ref="J130" si="81">I130</f>
        <v>500</v>
      </c>
      <c r="K130" s="21">
        <f t="shared" ref="K130" si="82">J130</f>
        <v>500</v>
      </c>
      <c r="L130" s="21">
        <f t="shared" ref="L130" si="83">K130</f>
        <v>500</v>
      </c>
      <c r="M130" s="197"/>
      <c r="N130" s="320">
        <v>0</v>
      </c>
      <c r="P130" s="21">
        <f>Q57</f>
        <v>500</v>
      </c>
      <c r="Q130" s="21"/>
      <c r="R130" s="24"/>
      <c r="S130" s="21">
        <f t="shared" si="77"/>
        <v>500</v>
      </c>
    </row>
    <row r="131" spans="1:19">
      <c r="A131" s="252"/>
      <c r="B131" s="5" t="s">
        <v>218</v>
      </c>
      <c r="C131" s="5"/>
      <c r="D131" s="214">
        <v>0</v>
      </c>
      <c r="E131" s="214">
        <v>0</v>
      </c>
      <c r="F131" s="21">
        <f t="shared" si="76"/>
        <v>-500</v>
      </c>
      <c r="G131" s="21">
        <f ca="1">F131+G44-SUM('Debt Schedule'!E58:E59)</f>
        <v>2123.4074666666675</v>
      </c>
      <c r="H131" s="21">
        <f ca="1">G131+H44-SUM('Debt Schedule'!F58:F59)</f>
        <v>4999.8106538888933</v>
      </c>
      <c r="I131" s="21">
        <f ca="1">H131+I44-SUM('Debt Schedule'!G58:G59)</f>
        <v>8140.4299495463029</v>
      </c>
      <c r="J131" s="21">
        <f ca="1">I131+J44-SUM('Debt Schedule'!H58:H59)</f>
        <v>11555.810456900155</v>
      </c>
      <c r="K131" s="21">
        <f ca="1">J131+K44-SUM('Debt Schedule'!I58:I59)</f>
        <v>15243.548486278083</v>
      </c>
      <c r="L131" s="21">
        <f ca="1">K131+L44-SUM('Debt Schedule'!J58:J59)</f>
        <v>19237.759392669315</v>
      </c>
      <c r="M131" s="197"/>
      <c r="N131" s="320">
        <v>0</v>
      </c>
      <c r="P131" s="21"/>
      <c r="Q131" s="21">
        <f>-Q66</f>
        <v>-500</v>
      </c>
      <c r="R131" s="24"/>
      <c r="S131" s="21">
        <f t="shared" si="77"/>
        <v>-500</v>
      </c>
    </row>
    <row r="132" spans="1:19" ht="3" customHeight="1">
      <c r="A132" s="252"/>
      <c r="B132" s="39"/>
      <c r="C132" s="39"/>
      <c r="D132" s="20"/>
      <c r="E132" s="20"/>
      <c r="F132" s="20"/>
      <c r="G132" s="20"/>
      <c r="H132" s="20"/>
      <c r="I132" s="20"/>
      <c r="J132" s="20"/>
      <c r="K132" s="20"/>
      <c r="L132" s="20"/>
      <c r="N132" s="20"/>
      <c r="P132" s="20"/>
      <c r="Q132" s="20"/>
      <c r="R132" s="24"/>
      <c r="S132" s="20">
        <f t="shared" si="77"/>
        <v>0</v>
      </c>
    </row>
    <row r="133" spans="1:19">
      <c r="A133" s="252"/>
      <c r="B133" s="5" t="s">
        <v>20</v>
      </c>
      <c r="C133" s="5"/>
      <c r="D133" s="19">
        <f>SUM(D128:D131)</f>
        <v>5000</v>
      </c>
      <c r="E133" s="19">
        <f t="shared" ref="E133:Q133" si="84">SUM(E128:E131)</f>
        <v>5000</v>
      </c>
      <c r="F133" s="19">
        <f t="shared" si="84"/>
        <v>35850</v>
      </c>
      <c r="G133" s="19">
        <f t="shared" ca="1" si="84"/>
        <v>41181.7408</v>
      </c>
      <c r="H133" s="19">
        <f t="shared" ca="1" si="84"/>
        <v>46992.171765000006</v>
      </c>
      <c r="I133" s="19">
        <f t="shared" ca="1" si="84"/>
        <v>53311.321153250006</v>
      </c>
      <c r="J133" s="19">
        <f t="shared" ca="1" si="84"/>
        <v>60170.109260912504</v>
      </c>
      <c r="K133" s="19">
        <f t="shared" ca="1" si="84"/>
        <v>67588.205523958124</v>
      </c>
      <c r="L133" s="19">
        <f t="shared" ca="1" si="84"/>
        <v>75623.637850156025</v>
      </c>
      <c r="M133" s="52"/>
      <c r="N133" s="19">
        <f t="shared" si="84"/>
        <v>3035</v>
      </c>
      <c r="P133" s="19">
        <f t="shared" si="84"/>
        <v>36350</v>
      </c>
      <c r="Q133" s="19">
        <f t="shared" si="84"/>
        <v>-3535</v>
      </c>
      <c r="R133" s="52"/>
      <c r="S133" s="19">
        <f>SUM(S128:S131)</f>
        <v>35850</v>
      </c>
    </row>
    <row r="134" spans="1:19">
      <c r="A134" s="252"/>
      <c r="B134" s="5"/>
      <c r="C134" s="5"/>
      <c r="D134" s="19"/>
      <c r="E134" s="19"/>
      <c r="F134" s="19"/>
      <c r="G134" s="19"/>
      <c r="H134" s="19"/>
      <c r="I134" s="19"/>
      <c r="J134" s="19"/>
      <c r="K134" s="19"/>
      <c r="L134" s="19"/>
      <c r="N134" s="19"/>
      <c r="P134" s="19"/>
      <c r="Q134" s="19"/>
      <c r="R134" s="24"/>
      <c r="S134" s="19">
        <f t="shared" si="77"/>
        <v>0</v>
      </c>
    </row>
    <row r="135" spans="1:19" ht="14.65" thickBot="1">
      <c r="A135" s="252"/>
      <c r="B135" s="18" t="s">
        <v>21</v>
      </c>
      <c r="C135" s="18"/>
      <c r="D135" s="18">
        <f t="shared" ref="D135:L135" si="85">D133+D125</f>
        <v>27500</v>
      </c>
      <c r="E135" s="18">
        <f t="shared" si="85"/>
        <v>26076</v>
      </c>
      <c r="F135" s="18">
        <f t="shared" si="85"/>
        <v>82896</v>
      </c>
      <c r="G135" s="18">
        <f t="shared" ca="1" si="85"/>
        <v>84734.440799999997</v>
      </c>
      <c r="H135" s="18">
        <f t="shared" ca="1" si="85"/>
        <v>87070.006764999998</v>
      </c>
      <c r="I135" s="18">
        <f t="shared" ca="1" si="85"/>
        <v>89178.047903250001</v>
      </c>
      <c r="J135" s="18">
        <f t="shared" ca="1" si="85"/>
        <v>91840.17234841251</v>
      </c>
      <c r="K135" s="18">
        <f t="shared" ca="1" si="85"/>
        <v>95076.771765833124</v>
      </c>
      <c r="L135" s="18">
        <f t="shared" ca="1" si="85"/>
        <v>103446.63240412477</v>
      </c>
      <c r="M135" s="43"/>
      <c r="N135" s="18">
        <f>N133+N125</f>
        <v>22581</v>
      </c>
      <c r="P135" s="18">
        <f>P133+P125</f>
        <v>76350</v>
      </c>
      <c r="Q135" s="18">
        <f>Q133+Q125</f>
        <v>-16035</v>
      </c>
      <c r="R135" s="43"/>
      <c r="S135" s="18">
        <f t="shared" si="77"/>
        <v>82896</v>
      </c>
    </row>
    <row r="136" spans="1:19" ht="14.65" thickTop="1">
      <c r="A136" s="252"/>
      <c r="B136" s="93" t="s">
        <v>97</v>
      </c>
      <c r="C136" s="93"/>
      <c r="D136" s="105">
        <f t="shared" ref="D136:L136" si="86">ROUND(D135-D101,2)</f>
        <v>0</v>
      </c>
      <c r="E136" s="105">
        <f t="shared" si="86"/>
        <v>0</v>
      </c>
      <c r="F136" s="105">
        <f t="shared" si="86"/>
        <v>0</v>
      </c>
      <c r="G136" s="105">
        <f t="shared" ca="1" si="86"/>
        <v>0</v>
      </c>
      <c r="H136" s="105">
        <f t="shared" ca="1" si="86"/>
        <v>0</v>
      </c>
      <c r="I136" s="105">
        <f t="shared" ca="1" si="86"/>
        <v>0</v>
      </c>
      <c r="J136" s="105">
        <f t="shared" ca="1" si="86"/>
        <v>0</v>
      </c>
      <c r="K136" s="105">
        <f t="shared" ca="1" si="86"/>
        <v>0</v>
      </c>
      <c r="L136" s="105">
        <f t="shared" ca="1" si="86"/>
        <v>0</v>
      </c>
      <c r="M136" s="105"/>
      <c r="N136" s="105">
        <f>ROUND(N135-N101,2)</f>
        <v>0</v>
      </c>
      <c r="O136" s="105"/>
      <c r="P136" s="105">
        <f>ROUND(P135-P101,2)</f>
        <v>0</v>
      </c>
      <c r="Q136" s="105">
        <f>ROUND(Q135-Q101,2)</f>
        <v>0</v>
      </c>
      <c r="R136" s="105"/>
      <c r="S136" s="105">
        <f>ROUND(S135-S101,2)</f>
        <v>0</v>
      </c>
    </row>
    <row r="137" spans="1:19">
      <c r="A137" s="252"/>
      <c r="B137" s="85"/>
      <c r="C137" s="85"/>
      <c r="D137" s="85"/>
      <c r="E137" s="85"/>
      <c r="F137" s="43"/>
      <c r="G137" s="43"/>
      <c r="H137" s="43"/>
      <c r="I137" s="43"/>
      <c r="J137" s="43"/>
      <c r="K137" s="43"/>
      <c r="L137" s="43"/>
      <c r="M137" s="85"/>
      <c r="N137" s="85"/>
      <c r="O137" s="85"/>
      <c r="P137" s="85"/>
      <c r="Q137" s="85"/>
      <c r="R137" s="85"/>
      <c r="S137" s="43"/>
    </row>
    <row r="138" spans="1:19">
      <c r="A138" s="252"/>
      <c r="B138" s="88" t="s">
        <v>92</v>
      </c>
      <c r="C138" s="88"/>
      <c r="D138" s="88"/>
      <c r="E138" s="88"/>
      <c r="F138" s="89"/>
      <c r="G138" s="89"/>
      <c r="H138" s="89"/>
      <c r="I138" s="89"/>
      <c r="J138" s="89"/>
      <c r="K138" s="89"/>
      <c r="L138" s="89"/>
      <c r="M138" s="43"/>
      <c r="N138" s="89"/>
      <c r="O138" s="89"/>
      <c r="P138" s="89"/>
      <c r="Q138" s="89"/>
      <c r="R138" s="89"/>
      <c r="S138" s="89"/>
    </row>
    <row r="139" spans="1:19">
      <c r="A139" s="252"/>
      <c r="B139" s="91" t="s">
        <v>93</v>
      </c>
      <c r="C139" s="91"/>
      <c r="D139" s="92">
        <f>D78/(D11/365)</f>
        <v>16.425000000000001</v>
      </c>
      <c r="E139" s="216">
        <f>E78/(E11/365)</f>
        <v>16.425000000000001</v>
      </c>
      <c r="F139" s="92">
        <f>F78/((F11/F9*12)/365)</f>
        <v>16.425000000000001</v>
      </c>
      <c r="G139" s="92">
        <f>AVERAGE($D139:$F139)</f>
        <v>16.425000000000001</v>
      </c>
      <c r="H139" s="92">
        <f t="shared" ref="H139:L143" si="87">G139</f>
        <v>16.425000000000001</v>
      </c>
      <c r="I139" s="92">
        <f t="shared" si="87"/>
        <v>16.425000000000001</v>
      </c>
      <c r="J139" s="92">
        <f t="shared" si="87"/>
        <v>16.425000000000001</v>
      </c>
      <c r="K139" s="92">
        <f t="shared" si="87"/>
        <v>16.425000000000001</v>
      </c>
      <c r="L139" s="92">
        <f t="shared" si="87"/>
        <v>16.425000000000001</v>
      </c>
      <c r="M139" s="85"/>
      <c r="N139" s="92"/>
      <c r="O139" s="90"/>
      <c r="P139" s="91"/>
      <c r="Q139" s="91"/>
      <c r="R139" s="90"/>
      <c r="S139" s="92"/>
    </row>
    <row r="140" spans="1:19">
      <c r="A140" s="252"/>
      <c r="B140" s="90" t="s">
        <v>111</v>
      </c>
      <c r="C140" s="90"/>
      <c r="D140" s="89">
        <f>D79/(D$14/365)</f>
        <v>39.502433379845492</v>
      </c>
      <c r="E140" s="217">
        <f>E79/(E14/365)</f>
        <v>39.502433379845492</v>
      </c>
      <c r="F140" s="89">
        <f>F79/((F$14/F$9*12)/365)</f>
        <v>39.502433379845492</v>
      </c>
      <c r="G140" s="89">
        <f>AVERAGE($D140:$F140)</f>
        <v>39.502433379845492</v>
      </c>
      <c r="H140" s="89">
        <f t="shared" si="87"/>
        <v>39.502433379845492</v>
      </c>
      <c r="I140" s="89">
        <f t="shared" si="87"/>
        <v>39.502433379845492</v>
      </c>
      <c r="J140" s="89">
        <f t="shared" si="87"/>
        <v>39.502433379845492</v>
      </c>
      <c r="K140" s="89">
        <f t="shared" si="87"/>
        <v>39.502433379845492</v>
      </c>
      <c r="L140" s="89">
        <f t="shared" si="87"/>
        <v>39.502433379845492</v>
      </c>
      <c r="M140" s="85"/>
      <c r="N140" s="89"/>
      <c r="O140" s="90"/>
      <c r="P140" s="90"/>
      <c r="Q140" s="90"/>
      <c r="R140" s="90"/>
      <c r="S140" s="89"/>
    </row>
    <row r="141" spans="1:19">
      <c r="A141" s="252"/>
      <c r="B141" s="90" t="s">
        <v>138</v>
      </c>
      <c r="C141" s="90"/>
      <c r="D141" s="89">
        <f>D80/(D$14/365)</f>
        <v>17.391008406221285</v>
      </c>
      <c r="E141" s="89">
        <f>E80/(E$14/365)</f>
        <v>17.391008406221285</v>
      </c>
      <c r="F141" s="89">
        <f>F80/((F$14/F$9*12)/365)</f>
        <v>17.391008406221285</v>
      </c>
      <c r="G141" s="89">
        <f>AVERAGE($D141:$F141)</f>
        <v>17.391008406221285</v>
      </c>
      <c r="H141" s="89">
        <f t="shared" ref="H141:L142" si="88">AVERAGE($D141:$F141)</f>
        <v>17.391008406221285</v>
      </c>
      <c r="I141" s="89">
        <f t="shared" si="88"/>
        <v>17.391008406221285</v>
      </c>
      <c r="J141" s="89">
        <f t="shared" si="88"/>
        <v>17.391008406221285</v>
      </c>
      <c r="K141" s="89">
        <f t="shared" si="88"/>
        <v>17.391008406221285</v>
      </c>
      <c r="L141" s="89">
        <f t="shared" si="88"/>
        <v>17.391008406221285</v>
      </c>
      <c r="M141" s="85"/>
      <c r="N141" s="89"/>
      <c r="O141" s="90"/>
      <c r="P141" s="90"/>
      <c r="Q141" s="90"/>
      <c r="R141" s="90"/>
      <c r="S141" s="89"/>
    </row>
    <row r="142" spans="1:19">
      <c r="A142" s="252"/>
      <c r="B142" s="90" t="s">
        <v>146</v>
      </c>
      <c r="C142" s="90"/>
      <c r="D142" s="217">
        <f>D106/(D14/365)</f>
        <v>45.502331279991836</v>
      </c>
      <c r="E142" s="217">
        <f>E106/(E14/365)</f>
        <v>45.502331279991836</v>
      </c>
      <c r="F142" s="89">
        <f>F106/((F$14/F$9*12)/365)</f>
        <v>45.502331279991836</v>
      </c>
      <c r="G142" s="89">
        <f>AVERAGE($D142:$F142)</f>
        <v>45.502331279991836</v>
      </c>
      <c r="H142" s="89">
        <f t="shared" si="88"/>
        <v>45.502331279991836</v>
      </c>
      <c r="I142" s="89">
        <f t="shared" si="88"/>
        <v>45.502331279991836</v>
      </c>
      <c r="J142" s="89">
        <f t="shared" si="88"/>
        <v>45.502331279991836</v>
      </c>
      <c r="K142" s="89">
        <f t="shared" si="88"/>
        <v>45.502331279991836</v>
      </c>
      <c r="L142" s="89">
        <f t="shared" si="88"/>
        <v>45.502331279991836</v>
      </c>
      <c r="M142" s="85"/>
      <c r="N142" s="89"/>
      <c r="O142" s="90"/>
      <c r="P142" s="90"/>
      <c r="Q142" s="90"/>
      <c r="R142" s="90"/>
      <c r="S142" s="89"/>
    </row>
    <row r="143" spans="1:19">
      <c r="A143" s="252"/>
      <c r="B143" s="90" t="s">
        <v>96</v>
      </c>
      <c r="C143" s="90"/>
      <c r="D143" s="89">
        <f>D105/(D14/365)</f>
        <v>19.092842800258655</v>
      </c>
      <c r="E143" s="217">
        <f>E105/(E14/365)</f>
        <v>20.036926113739238</v>
      </c>
      <c r="F143" s="89">
        <f>F105/((F14/F9*12)/365)</f>
        <v>19.664261647891639</v>
      </c>
      <c r="G143" s="89">
        <f>AVERAGE($D143:$F143)</f>
        <v>19.598010187296509</v>
      </c>
      <c r="H143" s="89">
        <f t="shared" si="87"/>
        <v>19.598010187296509</v>
      </c>
      <c r="I143" s="89">
        <f t="shared" si="87"/>
        <v>19.598010187296509</v>
      </c>
      <c r="J143" s="89">
        <f t="shared" si="87"/>
        <v>19.598010187296509</v>
      </c>
      <c r="K143" s="89">
        <f t="shared" si="87"/>
        <v>19.598010187296509</v>
      </c>
      <c r="L143" s="89">
        <f t="shared" si="87"/>
        <v>19.598010187296509</v>
      </c>
      <c r="M143" s="85"/>
      <c r="N143" s="89"/>
      <c r="O143" s="90"/>
      <c r="P143" s="90"/>
      <c r="Q143" s="90"/>
      <c r="R143" s="90"/>
      <c r="S143" s="89"/>
    </row>
    <row r="144" spans="1:19" ht="3" customHeight="1">
      <c r="B144" s="90"/>
      <c r="C144" s="90"/>
      <c r="D144" s="89"/>
      <c r="E144" s="184"/>
      <c r="F144" s="89"/>
      <c r="G144" s="89"/>
      <c r="H144" s="89"/>
      <c r="I144" s="89"/>
      <c r="J144" s="89"/>
      <c r="K144" s="89"/>
      <c r="L144" s="89"/>
      <c r="M144" s="85"/>
      <c r="N144" s="89"/>
      <c r="O144" s="90"/>
      <c r="P144" s="90"/>
      <c r="Q144" s="90"/>
      <c r="R144" s="90"/>
      <c r="S144" s="89"/>
    </row>
    <row r="145" spans="2:19">
      <c r="F145" s="37"/>
      <c r="G145" s="37"/>
      <c r="H145" s="37"/>
      <c r="I145" s="37"/>
      <c r="J145" s="37"/>
      <c r="K145" s="37"/>
      <c r="L145" s="37"/>
      <c r="R145" s="24"/>
    </row>
    <row r="146" spans="2:19">
      <c r="B146" s="16" t="str">
        <f>'Sources &amp; Uses'!B1</f>
        <v>COMPANY</v>
      </c>
      <c r="C146" s="16"/>
      <c r="D146" s="16"/>
      <c r="E146" s="16"/>
      <c r="F146" s="37"/>
      <c r="G146" s="37"/>
      <c r="H146" s="37"/>
      <c r="I146" s="37"/>
      <c r="J146" s="37"/>
      <c r="K146" s="37"/>
      <c r="L146" s="37"/>
      <c r="M146" s="208"/>
      <c r="N146" s="16"/>
      <c r="O146" s="16"/>
      <c r="P146" s="16"/>
      <c r="Q146" s="16"/>
      <c r="R146" s="115"/>
    </row>
    <row r="147" spans="2:19">
      <c r="B147" s="16" t="s">
        <v>59</v>
      </c>
      <c r="C147" s="16"/>
      <c r="D147" s="16"/>
      <c r="E147" s="16"/>
      <c r="F147" s="37"/>
      <c r="G147" s="37"/>
      <c r="H147" s="37"/>
      <c r="I147" s="37"/>
      <c r="J147" s="37"/>
      <c r="K147" s="37"/>
      <c r="L147" s="37"/>
      <c r="M147" s="208"/>
      <c r="N147" s="16"/>
      <c r="O147" s="16"/>
      <c r="P147" s="16"/>
      <c r="Q147" s="16"/>
      <c r="R147" s="16"/>
    </row>
    <row r="148" spans="2:19" ht="0.95" customHeight="1">
      <c r="B148" s="17"/>
      <c r="C148" s="17"/>
      <c r="D148" s="17"/>
      <c r="E148" s="17"/>
      <c r="F148" s="77"/>
      <c r="G148" s="77"/>
      <c r="H148" s="77"/>
      <c r="I148" s="77"/>
      <c r="J148" s="77"/>
      <c r="K148" s="77"/>
      <c r="L148" s="77"/>
      <c r="N148" s="25"/>
      <c r="O148" s="25"/>
      <c r="P148" s="25"/>
      <c r="Q148" s="25"/>
      <c r="R148" s="25"/>
      <c r="S148" s="25"/>
    </row>
    <row r="149" spans="2:19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N149" s="25"/>
      <c r="O149" s="25"/>
      <c r="P149" s="25"/>
      <c r="Q149" s="25"/>
      <c r="R149" s="25"/>
      <c r="S149" s="25"/>
    </row>
    <row r="150" spans="2:19">
      <c r="F150" s="24"/>
      <c r="G150" s="108" t="s">
        <v>4</v>
      </c>
      <c r="H150" s="108"/>
      <c r="I150" s="108"/>
      <c r="J150" s="108"/>
      <c r="K150" s="108"/>
      <c r="L150" s="108"/>
      <c r="N150" s="25"/>
      <c r="O150" s="25"/>
      <c r="P150" s="25"/>
      <c r="Q150" s="25"/>
      <c r="R150" s="25"/>
      <c r="S150" s="25"/>
    </row>
    <row r="151" spans="2:19">
      <c r="F151" s="29"/>
      <c r="G151" s="80">
        <f t="shared" ref="G151:L154" si="89">G6</f>
        <v>1</v>
      </c>
      <c r="H151" s="72">
        <f t="shared" si="89"/>
        <v>2</v>
      </c>
      <c r="I151" s="72">
        <f t="shared" si="89"/>
        <v>3</v>
      </c>
      <c r="J151" s="72">
        <f t="shared" si="89"/>
        <v>4</v>
      </c>
      <c r="K151" s="72">
        <f t="shared" si="89"/>
        <v>5</v>
      </c>
      <c r="L151" s="72">
        <f t="shared" si="89"/>
        <v>6</v>
      </c>
      <c r="N151" s="25"/>
      <c r="O151" s="25"/>
      <c r="P151" s="25"/>
      <c r="Q151" s="25"/>
      <c r="R151" s="25"/>
      <c r="S151" s="25"/>
    </row>
    <row r="152" spans="2:19">
      <c r="B152" s="30"/>
      <c r="C152" s="30"/>
      <c r="D152" s="30"/>
      <c r="E152" s="30"/>
      <c r="F152" s="12"/>
      <c r="G152" s="109">
        <f t="shared" si="89"/>
        <v>2018</v>
      </c>
      <c r="H152" s="71">
        <f t="shared" si="89"/>
        <v>2019</v>
      </c>
      <c r="I152" s="71">
        <f t="shared" si="89"/>
        <v>2020</v>
      </c>
      <c r="J152" s="71">
        <f t="shared" si="89"/>
        <v>2021</v>
      </c>
      <c r="K152" s="71">
        <f t="shared" si="89"/>
        <v>2022</v>
      </c>
      <c r="L152" s="71">
        <f t="shared" si="89"/>
        <v>2023</v>
      </c>
      <c r="M152" s="211"/>
      <c r="N152" s="211"/>
      <c r="O152" s="211"/>
      <c r="P152" s="211"/>
      <c r="Q152" s="211"/>
      <c r="R152" s="211"/>
      <c r="S152" s="25"/>
    </row>
    <row r="153" spans="2:19">
      <c r="B153" s="30"/>
      <c r="C153" s="30"/>
      <c r="D153" s="30"/>
      <c r="E153" s="30"/>
      <c r="F153" s="12"/>
      <c r="G153" s="142">
        <f t="shared" si="89"/>
        <v>43465</v>
      </c>
      <c r="H153" s="143">
        <f t="shared" si="89"/>
        <v>43830</v>
      </c>
      <c r="I153" s="143">
        <f t="shared" si="89"/>
        <v>44196</v>
      </c>
      <c r="J153" s="143">
        <f t="shared" si="89"/>
        <v>44561</v>
      </c>
      <c r="K153" s="143">
        <f t="shared" si="89"/>
        <v>44926</v>
      </c>
      <c r="L153" s="143">
        <f t="shared" si="89"/>
        <v>45291</v>
      </c>
      <c r="M153" s="211"/>
      <c r="N153" s="211"/>
      <c r="O153" s="211"/>
      <c r="P153" s="211"/>
      <c r="Q153" s="211"/>
      <c r="R153" s="211"/>
      <c r="S153" s="25"/>
    </row>
    <row r="154" spans="2:19">
      <c r="B154" s="30"/>
      <c r="C154" s="30"/>
      <c r="D154" s="30"/>
      <c r="E154" s="30"/>
      <c r="F154" s="12"/>
      <c r="G154" s="144">
        <f t="shared" si="89"/>
        <v>12</v>
      </c>
      <c r="H154" s="145">
        <f t="shared" si="89"/>
        <v>12</v>
      </c>
      <c r="I154" s="145">
        <f t="shared" si="89"/>
        <v>12</v>
      </c>
      <c r="J154" s="145">
        <f t="shared" si="89"/>
        <v>12</v>
      </c>
      <c r="K154" s="145">
        <f t="shared" si="89"/>
        <v>12</v>
      </c>
      <c r="L154" s="145">
        <f t="shared" si="89"/>
        <v>12</v>
      </c>
      <c r="M154" s="211"/>
      <c r="N154" s="211"/>
      <c r="O154" s="211"/>
      <c r="P154" s="211"/>
      <c r="Q154" s="211"/>
      <c r="R154" s="211"/>
      <c r="S154" s="25"/>
    </row>
    <row r="155" spans="2:19" ht="5.0999999999999996" customHeight="1">
      <c r="B155" s="30"/>
      <c r="C155" s="30"/>
      <c r="D155" s="30"/>
      <c r="E155" s="30"/>
      <c r="F155" s="12"/>
      <c r="G155" s="308"/>
      <c r="H155" s="308"/>
      <c r="I155" s="308"/>
      <c r="J155" s="308"/>
      <c r="K155" s="308"/>
      <c r="L155" s="308"/>
      <c r="M155" s="211"/>
      <c r="N155" s="211"/>
      <c r="O155" s="211"/>
      <c r="P155" s="211"/>
      <c r="Q155" s="211"/>
      <c r="R155" s="211"/>
      <c r="S155" s="25"/>
    </row>
    <row r="156" spans="2:19">
      <c r="B156" s="382" t="s">
        <v>219</v>
      </c>
      <c r="C156" s="379"/>
      <c r="D156" s="379"/>
      <c r="E156" s="379"/>
      <c r="F156" s="380"/>
      <c r="G156" s="381"/>
      <c r="H156" s="381"/>
      <c r="I156" s="381"/>
      <c r="J156" s="381"/>
      <c r="K156" s="381"/>
      <c r="L156" s="381"/>
      <c r="M156" s="211"/>
      <c r="N156" s="211"/>
      <c r="O156" s="211"/>
      <c r="P156" s="211"/>
      <c r="Q156" s="211"/>
      <c r="R156" s="211"/>
      <c r="S156" s="25"/>
    </row>
    <row r="157" spans="2:19" ht="5.0999999999999996" customHeight="1">
      <c r="B157" s="30"/>
      <c r="C157" s="30"/>
      <c r="D157" s="30"/>
      <c r="E157" s="30"/>
      <c r="F157" s="12"/>
      <c r="G157" s="308"/>
      <c r="H157" s="308"/>
      <c r="I157" s="308"/>
      <c r="J157" s="308"/>
      <c r="K157" s="308"/>
      <c r="L157" s="308"/>
      <c r="M157" s="211"/>
      <c r="N157" s="211"/>
      <c r="O157" s="211"/>
      <c r="P157" s="211"/>
      <c r="Q157" s="211"/>
      <c r="R157" s="211"/>
      <c r="S157" s="25"/>
    </row>
    <row r="158" spans="2:19">
      <c r="B158" s="32" t="s">
        <v>2</v>
      </c>
      <c r="C158" s="32"/>
      <c r="D158" s="32"/>
      <c r="E158" s="32"/>
      <c r="F158" s="31"/>
      <c r="G158" s="31">
        <f t="shared" ref="G158:L158" ca="1" si="90">G44</f>
        <v>5331.7408000000014</v>
      </c>
      <c r="H158" s="31">
        <f t="shared" ca="1" si="90"/>
        <v>5810.4309650000032</v>
      </c>
      <c r="I158" s="31">
        <f t="shared" ca="1" si="90"/>
        <v>6319.1493882500017</v>
      </c>
      <c r="J158" s="31">
        <f t="shared" ca="1" si="90"/>
        <v>6858.7881076624944</v>
      </c>
      <c r="K158" s="31">
        <f t="shared" ca="1" si="90"/>
        <v>7418.0962630456224</v>
      </c>
      <c r="L158" s="31">
        <f t="shared" ca="1" si="90"/>
        <v>8035.4323261979034</v>
      </c>
      <c r="M158" s="32"/>
      <c r="N158" s="32"/>
      <c r="O158" s="32"/>
      <c r="P158" s="32"/>
      <c r="Q158" s="32"/>
      <c r="R158" s="32"/>
      <c r="S158" s="25"/>
    </row>
    <row r="159" spans="2:19" ht="5.0999999999999996" customHeight="1">
      <c r="B159" s="32"/>
      <c r="C159" s="32"/>
      <c r="D159" s="32"/>
      <c r="E159" s="32"/>
      <c r="F159" s="31"/>
      <c r="G159" s="31"/>
      <c r="H159" s="31"/>
      <c r="I159" s="31"/>
      <c r="J159" s="31"/>
      <c r="K159" s="31"/>
      <c r="L159" s="31"/>
      <c r="M159" s="32"/>
      <c r="N159" s="32"/>
      <c r="O159" s="32"/>
      <c r="P159" s="32"/>
      <c r="Q159" s="32"/>
      <c r="R159" s="32"/>
      <c r="S159" s="25"/>
    </row>
    <row r="160" spans="2:19">
      <c r="B160" s="32" t="s">
        <v>25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25"/>
    </row>
    <row r="161" spans="2:19">
      <c r="B161" s="44" t="s">
        <v>35</v>
      </c>
      <c r="C161" s="44"/>
      <c r="D161" s="44"/>
      <c r="E161" s="44"/>
      <c r="F161" s="32"/>
      <c r="G161" s="32">
        <f ca="1">'PP&amp;E Schedule'!G17</f>
        <v>1310.75</v>
      </c>
      <c r="H161" s="32">
        <f ca="1">'PP&amp;E Schedule'!H17</f>
        <v>1376.2875000000001</v>
      </c>
      <c r="I161" s="32">
        <f ca="1">'PP&amp;E Schedule'!I17</f>
        <v>1445.1018750000003</v>
      </c>
      <c r="J161" s="32">
        <f ca="1">'PP&amp;E Schedule'!J17</f>
        <v>1517.3569687500003</v>
      </c>
      <c r="K161" s="32">
        <f ca="1">'PP&amp;E Schedule'!K17</f>
        <v>1593.2248171875003</v>
      </c>
      <c r="L161" s="32">
        <f ca="1">'PP&amp;E Schedule'!L17</f>
        <v>1672.8860580468752</v>
      </c>
      <c r="M161" s="44"/>
      <c r="N161" s="44"/>
      <c r="O161" s="44"/>
      <c r="P161" s="44"/>
      <c r="Q161" s="44"/>
      <c r="R161" s="44"/>
      <c r="S161" s="25"/>
    </row>
    <row r="162" spans="2:19">
      <c r="B162" s="44" t="s">
        <v>101</v>
      </c>
      <c r="C162" s="44"/>
      <c r="D162" s="44"/>
      <c r="E162" s="44"/>
      <c r="F162" s="32"/>
      <c r="G162" s="32">
        <f>'PP&amp;E Schedule'!G29+'PP&amp;E Schedule'!G25</f>
        <v>170</v>
      </c>
      <c r="H162" s="32">
        <f>'PP&amp;E Schedule'!H29+'PP&amp;E Schedule'!H25</f>
        <v>170</v>
      </c>
      <c r="I162" s="32">
        <f>'PP&amp;E Schedule'!I29+'PP&amp;E Schedule'!I25</f>
        <v>170</v>
      </c>
      <c r="J162" s="32">
        <f>'PP&amp;E Schedule'!J29+'PP&amp;E Schedule'!J25</f>
        <v>170</v>
      </c>
      <c r="K162" s="32">
        <f>'PP&amp;E Schedule'!K29+'PP&amp;E Schedule'!K25</f>
        <v>170</v>
      </c>
      <c r="L162" s="32">
        <f>'PP&amp;E Schedule'!L29+'PP&amp;E Schedule'!L25</f>
        <v>0</v>
      </c>
      <c r="M162" s="44"/>
      <c r="N162" s="44"/>
      <c r="O162" s="44"/>
      <c r="P162" s="44"/>
      <c r="Q162" s="44"/>
      <c r="R162" s="44"/>
      <c r="S162" s="25"/>
    </row>
    <row r="163" spans="2:19">
      <c r="B163" s="86" t="s">
        <v>26</v>
      </c>
      <c r="C163" s="86"/>
      <c r="D163" s="86"/>
      <c r="E163" s="86"/>
      <c r="F163" s="94"/>
      <c r="G163" s="94">
        <f t="shared" ref="G163:L163" ca="1" si="91">SUM(G161:G162)</f>
        <v>1480.75</v>
      </c>
      <c r="H163" s="94">
        <f t="shared" ca="1" si="91"/>
        <v>1546.2875000000001</v>
      </c>
      <c r="I163" s="94">
        <f t="shared" ca="1" si="91"/>
        <v>1615.1018750000003</v>
      </c>
      <c r="J163" s="94">
        <f t="shared" ca="1" si="91"/>
        <v>1687.3569687500003</v>
      </c>
      <c r="K163" s="94">
        <f t="shared" ca="1" si="91"/>
        <v>1763.2248171875003</v>
      </c>
      <c r="L163" s="94">
        <f t="shared" ca="1" si="91"/>
        <v>1672.8860580468752</v>
      </c>
      <c r="M163" s="44"/>
      <c r="N163" s="44"/>
      <c r="O163" s="44"/>
      <c r="P163" s="44"/>
      <c r="Q163" s="44"/>
      <c r="R163" s="44"/>
      <c r="S163" s="25"/>
    </row>
    <row r="164" spans="2:19" ht="5.0999999999999996" customHeight="1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25"/>
    </row>
    <row r="165" spans="2:19">
      <c r="B165" s="45" t="s">
        <v>27</v>
      </c>
      <c r="C165" s="45"/>
      <c r="D165" s="45"/>
      <c r="E165" s="45"/>
      <c r="F165" s="34"/>
      <c r="G165" s="34">
        <f t="shared" ref="G165:L165" ca="1" si="92">G158+G163</f>
        <v>6812.4908000000014</v>
      </c>
      <c r="H165" s="34">
        <f t="shared" ca="1" si="92"/>
        <v>7356.7184650000036</v>
      </c>
      <c r="I165" s="34">
        <f t="shared" ca="1" si="92"/>
        <v>7934.251263250002</v>
      </c>
      <c r="J165" s="34">
        <f t="shared" ca="1" si="92"/>
        <v>8546.1450764124947</v>
      </c>
      <c r="K165" s="34">
        <f t="shared" ca="1" si="92"/>
        <v>9181.3210802331232</v>
      </c>
      <c r="L165" s="34">
        <f t="shared" ca="1" si="92"/>
        <v>9708.3183842447779</v>
      </c>
      <c r="M165" s="45"/>
      <c r="N165" s="45"/>
      <c r="O165" s="45"/>
      <c r="P165" s="45"/>
      <c r="Q165" s="45"/>
      <c r="R165" s="45"/>
      <c r="S165" s="25"/>
    </row>
    <row r="166" spans="2:19" ht="5.0999999999999996" customHeight="1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25"/>
    </row>
    <row r="167" spans="2:19">
      <c r="B167" s="32" t="s">
        <v>28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25"/>
    </row>
    <row r="168" spans="2:19">
      <c r="B168" s="44" t="s">
        <v>24</v>
      </c>
      <c r="C168" s="44"/>
      <c r="D168" s="44"/>
      <c r="E168" s="44"/>
      <c r="F168" s="32"/>
      <c r="G168" s="32">
        <f t="shared" ref="G168:L170" si="93">F78-G78</f>
        <v>-112.5</v>
      </c>
      <c r="H168" s="32">
        <f t="shared" si="93"/>
        <v>-118.125</v>
      </c>
      <c r="I168" s="32">
        <f t="shared" si="93"/>
        <v>-124.03125</v>
      </c>
      <c r="J168" s="32">
        <f t="shared" si="93"/>
        <v>-130.23281250000036</v>
      </c>
      <c r="K168" s="32">
        <f t="shared" si="93"/>
        <v>-136.74445312499984</v>
      </c>
      <c r="L168" s="32">
        <f t="shared" si="93"/>
        <v>-143.58167578124994</v>
      </c>
      <c r="M168" s="44"/>
      <c r="N168" s="44"/>
      <c r="O168" s="44"/>
      <c r="P168" s="44"/>
      <c r="Q168" s="44"/>
      <c r="R168" s="44"/>
      <c r="S168" s="25"/>
    </row>
    <row r="169" spans="2:19">
      <c r="B169" s="44" t="s">
        <v>111</v>
      </c>
      <c r="C169" s="44"/>
      <c r="D169" s="44"/>
      <c r="E169" s="44"/>
      <c r="F169" s="32"/>
      <c r="G169" s="32">
        <f t="shared" si="93"/>
        <v>-159</v>
      </c>
      <c r="H169" s="32">
        <f t="shared" si="93"/>
        <v>-166.95000000000027</v>
      </c>
      <c r="I169" s="32">
        <f t="shared" si="93"/>
        <v>-175.29749999999967</v>
      </c>
      <c r="J169" s="32">
        <f t="shared" si="93"/>
        <v>-184.06237500000088</v>
      </c>
      <c r="K169" s="32">
        <f t="shared" si="93"/>
        <v>-193.26549375000013</v>
      </c>
      <c r="L169" s="32">
        <f t="shared" si="93"/>
        <v>-202.92876843749946</v>
      </c>
      <c r="M169" s="44"/>
      <c r="N169" s="44"/>
      <c r="O169" s="44"/>
      <c r="P169" s="44"/>
      <c r="Q169" s="44"/>
      <c r="R169" s="44"/>
      <c r="S169" s="25"/>
    </row>
    <row r="170" spans="2:19">
      <c r="B170" s="44" t="s">
        <v>138</v>
      </c>
      <c r="C170" s="44"/>
      <c r="D170" s="44"/>
      <c r="E170" s="44"/>
      <c r="F170" s="32"/>
      <c r="G170" s="32">
        <f t="shared" si="93"/>
        <v>-70</v>
      </c>
      <c r="H170" s="32">
        <f t="shared" si="93"/>
        <v>-73.5</v>
      </c>
      <c r="I170" s="32">
        <f t="shared" si="93"/>
        <v>-77.174999999999955</v>
      </c>
      <c r="J170" s="32">
        <f t="shared" si="93"/>
        <v>-81.033750000000282</v>
      </c>
      <c r="K170" s="32">
        <f t="shared" si="93"/>
        <v>-85.085437500000126</v>
      </c>
      <c r="L170" s="32">
        <f t="shared" si="93"/>
        <v>-89.339709374999529</v>
      </c>
      <c r="M170" s="44"/>
      <c r="N170" s="44"/>
      <c r="O170" s="44"/>
      <c r="P170" s="44"/>
      <c r="Q170" s="44"/>
      <c r="R170" s="44"/>
      <c r="S170" s="25"/>
    </row>
    <row r="171" spans="2:19">
      <c r="B171" s="44" t="s">
        <v>121</v>
      </c>
      <c r="C171" s="44"/>
      <c r="D171" s="44"/>
      <c r="E171" s="44"/>
      <c r="F171" s="32"/>
      <c r="G171" s="32">
        <f t="shared" ref="G171:L172" si="94">G105-F105</f>
        <v>73.549999999999955</v>
      </c>
      <c r="H171" s="32">
        <f t="shared" si="94"/>
        <v>82.827499999999873</v>
      </c>
      <c r="I171" s="32">
        <f t="shared" si="94"/>
        <v>86.968875000000025</v>
      </c>
      <c r="J171" s="32">
        <f t="shared" si="94"/>
        <v>91.317318750000368</v>
      </c>
      <c r="K171" s="32">
        <f t="shared" si="94"/>
        <v>95.883184687500034</v>
      </c>
      <c r="L171" s="32">
        <f t="shared" si="94"/>
        <v>100.67734392187458</v>
      </c>
      <c r="M171" s="44"/>
      <c r="N171" s="44"/>
      <c r="O171" s="44"/>
      <c r="P171" s="44"/>
      <c r="Q171" s="44"/>
      <c r="R171" s="44"/>
      <c r="S171" s="25"/>
    </row>
    <row r="172" spans="2:19">
      <c r="B172" s="44" t="s">
        <v>122</v>
      </c>
      <c r="C172" s="44"/>
      <c r="D172" s="44"/>
      <c r="E172" s="44"/>
      <c r="F172" s="32"/>
      <c r="G172" s="32">
        <f t="shared" si="94"/>
        <v>183.15000000000009</v>
      </c>
      <c r="H172" s="32">
        <f t="shared" si="94"/>
        <v>192.30749999999989</v>
      </c>
      <c r="I172" s="32">
        <f t="shared" si="94"/>
        <v>201.92287499999975</v>
      </c>
      <c r="J172" s="32">
        <f t="shared" si="94"/>
        <v>212.01901875000112</v>
      </c>
      <c r="K172" s="32">
        <f t="shared" si="94"/>
        <v>222.61996968750009</v>
      </c>
      <c r="L172" s="32">
        <f t="shared" si="94"/>
        <v>233.75096817187386</v>
      </c>
      <c r="M172" s="44"/>
      <c r="N172" s="44"/>
      <c r="O172" s="44"/>
      <c r="P172" s="44"/>
      <c r="Q172" s="44"/>
      <c r="R172" s="44"/>
      <c r="S172" s="25"/>
    </row>
    <row r="173" spans="2:19">
      <c r="B173" s="86" t="s">
        <v>29</v>
      </c>
      <c r="C173" s="86"/>
      <c r="D173" s="86"/>
      <c r="E173" s="86"/>
      <c r="F173" s="87"/>
      <c r="G173" s="87">
        <f t="shared" ref="G173:L173" si="95">SUM(G168:G172)</f>
        <v>-84.799999999999955</v>
      </c>
      <c r="H173" s="87">
        <f t="shared" si="95"/>
        <v>-83.440000000000509</v>
      </c>
      <c r="I173" s="87">
        <f t="shared" si="95"/>
        <v>-87.611999999999853</v>
      </c>
      <c r="J173" s="87">
        <f t="shared" si="95"/>
        <v>-91.992600000000039</v>
      </c>
      <c r="K173" s="87">
        <f t="shared" si="95"/>
        <v>-96.592229999999972</v>
      </c>
      <c r="L173" s="87">
        <f t="shared" si="95"/>
        <v>-101.42184150000048</v>
      </c>
      <c r="M173" s="44"/>
      <c r="N173" s="44"/>
      <c r="O173" s="44"/>
      <c r="P173" s="44"/>
      <c r="Q173" s="44"/>
      <c r="R173" s="44"/>
      <c r="S173" s="25"/>
    </row>
    <row r="174" spans="2:19" ht="5.0999999999999996" customHeight="1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25"/>
    </row>
    <row r="175" spans="2:19">
      <c r="B175" s="46" t="s">
        <v>30</v>
      </c>
      <c r="C175" s="46"/>
      <c r="D175" s="46"/>
      <c r="E175" s="46"/>
      <c r="F175" s="47"/>
      <c r="G175" s="47">
        <f t="shared" ref="G175:L175" ca="1" si="96">G165+G173</f>
        <v>6727.6908000000012</v>
      </c>
      <c r="H175" s="47">
        <f t="shared" ca="1" si="96"/>
        <v>7273.2784650000031</v>
      </c>
      <c r="I175" s="47">
        <f t="shared" ca="1" si="96"/>
        <v>7846.6392632500019</v>
      </c>
      <c r="J175" s="47">
        <f t="shared" ca="1" si="96"/>
        <v>8454.1524764124952</v>
      </c>
      <c r="K175" s="47">
        <f t="shared" ca="1" si="96"/>
        <v>9084.728850233123</v>
      </c>
      <c r="L175" s="47">
        <f t="shared" ca="1" si="96"/>
        <v>9606.8965427447765</v>
      </c>
      <c r="M175" s="46"/>
      <c r="N175" s="46"/>
      <c r="O175" s="46"/>
      <c r="P175" s="46"/>
      <c r="Q175" s="46"/>
      <c r="R175" s="46"/>
      <c r="S175" s="25"/>
    </row>
    <row r="176" spans="2:19" ht="5.0999999999999996" customHeight="1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25"/>
    </row>
    <row r="177" spans="1:19" ht="15" customHeight="1">
      <c r="B177" s="382" t="s">
        <v>220</v>
      </c>
      <c r="C177" s="379"/>
      <c r="D177" s="379"/>
      <c r="E177" s="379"/>
      <c r="F177" s="380"/>
      <c r="G177" s="381"/>
      <c r="H177" s="381"/>
      <c r="I177" s="381"/>
      <c r="J177" s="381"/>
      <c r="K177" s="381"/>
      <c r="L177" s="381"/>
      <c r="M177" s="32"/>
      <c r="N177" s="32"/>
      <c r="O177" s="32"/>
      <c r="P177" s="32"/>
      <c r="Q177" s="32"/>
      <c r="R177" s="32"/>
      <c r="S177" s="25"/>
    </row>
    <row r="178" spans="1:19" ht="5.0999999999999996" customHeight="1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25"/>
    </row>
    <row r="179" spans="1:19">
      <c r="B179" s="32" t="s">
        <v>31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25"/>
    </row>
    <row r="180" spans="1:19">
      <c r="B180" s="44" t="s">
        <v>32</v>
      </c>
      <c r="C180" s="44"/>
      <c r="D180" s="44"/>
      <c r="E180" s="44"/>
      <c r="F180" s="32"/>
      <c r="G180" s="32">
        <f>-'PP&amp;E Schedule'!G13</f>
        <v>-1872.5000000000002</v>
      </c>
      <c r="H180" s="32">
        <f>-'PP&amp;E Schedule'!H13</f>
        <v>-1966.1250000000005</v>
      </c>
      <c r="I180" s="32">
        <f>-'PP&amp;E Schedule'!I13</f>
        <v>-2064.4312500000005</v>
      </c>
      <c r="J180" s="32">
        <f>-'PP&amp;E Schedule'!J13</f>
        <v>-2167.6528125000004</v>
      </c>
      <c r="K180" s="32">
        <f>-'PP&amp;E Schedule'!K13</f>
        <v>-2276.0354531250005</v>
      </c>
      <c r="L180" s="32">
        <f>-'PP&amp;E Schedule'!L13</f>
        <v>-2389.8372257812503</v>
      </c>
      <c r="M180" s="44"/>
      <c r="N180" s="44"/>
      <c r="O180" s="44"/>
      <c r="P180" s="44"/>
      <c r="Q180" s="44"/>
      <c r="R180" s="44"/>
      <c r="S180" s="25"/>
    </row>
    <row r="181" spans="1:19" s="24" customFormat="1" ht="5.0999999999999996" customHeight="1">
      <c r="A181" s="25"/>
      <c r="B181" s="44"/>
      <c r="C181" s="44"/>
      <c r="D181" s="44"/>
      <c r="E181" s="44"/>
      <c r="F181" s="32"/>
      <c r="G181" s="32"/>
      <c r="H181" s="32"/>
      <c r="I181" s="32"/>
      <c r="J181" s="32"/>
      <c r="K181" s="32"/>
      <c r="L181" s="32"/>
      <c r="M181" s="44"/>
      <c r="N181" s="44"/>
      <c r="O181" s="44"/>
      <c r="P181" s="44"/>
      <c r="Q181" s="44"/>
      <c r="R181" s="44"/>
      <c r="S181" s="25"/>
    </row>
    <row r="182" spans="1:19">
      <c r="B182" s="46" t="s">
        <v>221</v>
      </c>
      <c r="C182" s="383"/>
      <c r="D182" s="383"/>
      <c r="E182" s="383"/>
      <c r="F182" s="47"/>
      <c r="G182" s="47">
        <f t="shared" ref="G182:L182" si="97">SUM(G180:G180)</f>
        <v>-1872.5000000000002</v>
      </c>
      <c r="H182" s="47">
        <f t="shared" si="97"/>
        <v>-1966.1250000000005</v>
      </c>
      <c r="I182" s="47">
        <f t="shared" si="97"/>
        <v>-2064.4312500000005</v>
      </c>
      <c r="J182" s="47">
        <f t="shared" si="97"/>
        <v>-2167.6528125000004</v>
      </c>
      <c r="K182" s="47">
        <f t="shared" si="97"/>
        <v>-2276.0354531250005</v>
      </c>
      <c r="L182" s="47">
        <f t="shared" si="97"/>
        <v>-2389.8372257812503</v>
      </c>
      <c r="M182" s="44"/>
      <c r="N182" s="44"/>
      <c r="O182" s="44"/>
      <c r="P182" s="44"/>
      <c r="Q182" s="44"/>
      <c r="R182" s="44"/>
      <c r="S182" s="25"/>
    </row>
    <row r="183" spans="1:19" ht="5.0999999999999996" customHeight="1">
      <c r="B183" s="44"/>
      <c r="C183" s="44"/>
      <c r="D183" s="44"/>
      <c r="E183" s="44"/>
      <c r="F183" s="34"/>
      <c r="G183" s="34"/>
      <c r="H183" s="34"/>
      <c r="I183" s="34"/>
      <c r="J183" s="34"/>
      <c r="K183" s="34"/>
      <c r="L183" s="34"/>
      <c r="M183" s="44"/>
      <c r="N183" s="44"/>
      <c r="O183" s="44"/>
      <c r="P183" s="44"/>
      <c r="Q183" s="44"/>
      <c r="R183" s="44"/>
      <c r="S183" s="25"/>
    </row>
    <row r="184" spans="1:19">
      <c r="B184" s="382" t="s">
        <v>222</v>
      </c>
      <c r="C184" s="379"/>
      <c r="D184" s="379"/>
      <c r="E184" s="379"/>
      <c r="F184" s="380"/>
      <c r="G184" s="381"/>
      <c r="H184" s="381"/>
      <c r="I184" s="381"/>
      <c r="J184" s="381"/>
      <c r="K184" s="381"/>
      <c r="L184" s="381"/>
      <c r="M184" s="32"/>
      <c r="N184" s="32"/>
      <c r="O184" s="32"/>
      <c r="P184" s="32"/>
      <c r="Q184" s="32"/>
      <c r="R184" s="32"/>
      <c r="S184" s="25"/>
    </row>
    <row r="185" spans="1:19" s="28" customFormat="1" ht="5.0999999999999996" customHeight="1">
      <c r="B185" s="384"/>
      <c r="C185" s="30"/>
      <c r="D185" s="30"/>
      <c r="E185" s="30"/>
      <c r="F185" s="385"/>
      <c r="G185" s="308"/>
      <c r="H185" s="308"/>
      <c r="I185" s="308"/>
      <c r="J185" s="308"/>
      <c r="K185" s="308"/>
      <c r="L185" s="308"/>
      <c r="M185" s="32"/>
      <c r="N185" s="32"/>
      <c r="O185" s="32"/>
      <c r="P185" s="32"/>
      <c r="Q185" s="32"/>
      <c r="R185" s="32"/>
      <c r="S185" s="25"/>
    </row>
    <row r="186" spans="1:19">
      <c r="A186" s="127"/>
      <c r="B186" s="44" t="s">
        <v>231</v>
      </c>
      <c r="C186" s="44"/>
      <c r="D186" s="44"/>
      <c r="E186" s="44"/>
      <c r="F186" s="32"/>
      <c r="G186" s="32">
        <f>-'Debt Schedule'!E35</f>
        <v>-3750</v>
      </c>
      <c r="H186" s="32">
        <f>-'Debt Schedule'!F35</f>
        <v>-3750</v>
      </c>
      <c r="I186" s="32">
        <f>-'Debt Schedule'!G35</f>
        <v>-4500</v>
      </c>
      <c r="J186" s="32">
        <f>-'Debt Schedule'!H35</f>
        <v>-4500</v>
      </c>
      <c r="K186" s="32">
        <f>-'Debt Schedule'!I35</f>
        <v>-4500</v>
      </c>
      <c r="L186" s="32">
        <f>-'Debt Schedule'!J35</f>
        <v>0</v>
      </c>
      <c r="M186" s="44"/>
      <c r="N186" s="32" t="s">
        <v>255</v>
      </c>
      <c r="O186" s="44"/>
      <c r="P186" s="44"/>
      <c r="Q186" s="44"/>
      <c r="R186" s="44"/>
      <c r="S186" s="25"/>
    </row>
    <row r="187" spans="1:19">
      <c r="A187" s="127"/>
      <c r="B187" s="44" t="s">
        <v>252</v>
      </c>
      <c r="C187" s="44"/>
      <c r="D187" s="44"/>
      <c r="E187" s="44"/>
      <c r="F187" s="32"/>
      <c r="G187" s="32">
        <f>-'Debt Schedule'!E36</f>
        <v>0</v>
      </c>
      <c r="H187" s="32">
        <f>-'Debt Schedule'!F36</f>
        <v>0</v>
      </c>
      <c r="I187" s="32">
        <f>-'Debt Schedule'!G36</f>
        <v>0</v>
      </c>
      <c r="J187" s="32">
        <f>-'Debt Schedule'!H36</f>
        <v>0</v>
      </c>
      <c r="K187" s="32">
        <f>-'Debt Schedule'!I36</f>
        <v>0</v>
      </c>
      <c r="L187" s="32">
        <f>-'Debt Schedule'!J36</f>
        <v>0</v>
      </c>
      <c r="M187" s="44"/>
      <c r="N187" s="32" t="s">
        <v>256</v>
      </c>
      <c r="O187" s="44"/>
      <c r="P187" s="44"/>
      <c r="Q187" s="44"/>
      <c r="R187" s="44"/>
      <c r="S187" s="25"/>
    </row>
    <row r="188" spans="1:19">
      <c r="A188" s="127"/>
      <c r="B188" s="44" t="s">
        <v>230</v>
      </c>
      <c r="C188" s="44"/>
      <c r="D188" s="44"/>
      <c r="E188" s="44"/>
      <c r="F188" s="32"/>
      <c r="G188" s="32">
        <f>-'Debt Schedule'!E44</f>
        <v>0</v>
      </c>
      <c r="H188" s="32">
        <f>-'Debt Schedule'!F44</f>
        <v>0</v>
      </c>
      <c r="I188" s="32">
        <f>-'Debt Schedule'!G44</f>
        <v>0</v>
      </c>
      <c r="J188" s="32">
        <f>-'Debt Schedule'!H44</f>
        <v>0</v>
      </c>
      <c r="K188" s="32">
        <f>-'Debt Schedule'!I44</f>
        <v>0</v>
      </c>
      <c r="L188" s="32">
        <f>-'Debt Schedule'!J44</f>
        <v>0</v>
      </c>
      <c r="M188" s="44"/>
      <c r="N188" s="44"/>
      <c r="O188" s="44"/>
      <c r="P188" s="44"/>
      <c r="Q188" s="44"/>
      <c r="R188" s="44"/>
      <c r="S188" s="25"/>
    </row>
    <row r="189" spans="1:19">
      <c r="A189" s="127"/>
      <c r="B189" s="44" t="s">
        <v>253</v>
      </c>
      <c r="C189" s="44"/>
      <c r="D189" s="44"/>
      <c r="E189" s="44"/>
      <c r="F189" s="32"/>
      <c r="G189" s="32">
        <f>-'Debt Schedule'!E45</f>
        <v>0</v>
      </c>
      <c r="H189" s="32">
        <f>-'Debt Schedule'!F45</f>
        <v>0</v>
      </c>
      <c r="I189" s="32">
        <f>-'Debt Schedule'!G45</f>
        <v>0</v>
      </c>
      <c r="J189" s="32">
        <f>-'Debt Schedule'!H45</f>
        <v>0</v>
      </c>
      <c r="K189" s="32">
        <f>-'Debt Schedule'!I45</f>
        <v>0</v>
      </c>
      <c r="L189" s="32">
        <f>-'Debt Schedule'!J45</f>
        <v>0</v>
      </c>
      <c r="M189" s="44"/>
      <c r="N189" s="44"/>
      <c r="O189" s="44"/>
      <c r="P189" s="44"/>
      <c r="Q189" s="44"/>
      <c r="R189" s="44"/>
      <c r="S189" s="25"/>
    </row>
    <row r="190" spans="1:19">
      <c r="A190" s="127"/>
      <c r="B190" s="44" t="s">
        <v>238</v>
      </c>
      <c r="C190" s="44"/>
      <c r="D190" s="44"/>
      <c r="E190" s="44"/>
      <c r="F190" s="32"/>
      <c r="G190" s="32">
        <f ca="1">-'Debt Schedule'!E58</f>
        <v>0</v>
      </c>
      <c r="H190" s="32">
        <f ca="1">-'Debt Schedule'!F58</f>
        <v>0</v>
      </c>
      <c r="I190" s="32">
        <f ca="1">-'Debt Schedule'!G58</f>
        <v>0</v>
      </c>
      <c r="J190" s="32">
        <f ca="1">-'Debt Schedule'!H58</f>
        <v>0</v>
      </c>
      <c r="K190" s="32">
        <f ca="1">-'Debt Schedule'!I58</f>
        <v>0</v>
      </c>
      <c r="L190" s="32">
        <f ca="1">-'Debt Schedule'!J58</f>
        <v>0</v>
      </c>
      <c r="M190" s="44"/>
      <c r="N190" s="44"/>
      <c r="O190" s="44"/>
      <c r="P190" s="44"/>
      <c r="Q190" s="44"/>
      <c r="R190" s="44"/>
      <c r="S190" s="25"/>
    </row>
    <row r="191" spans="1:19">
      <c r="A191" s="127"/>
      <c r="B191" s="44" t="s">
        <v>254</v>
      </c>
      <c r="C191" s="44"/>
      <c r="D191" s="44"/>
      <c r="E191" s="44"/>
      <c r="F191" s="32"/>
      <c r="G191" s="32">
        <f>-'Debt Schedule'!E52</f>
        <v>0</v>
      </c>
      <c r="H191" s="32">
        <f>-'Debt Schedule'!F52</f>
        <v>0</v>
      </c>
      <c r="I191" s="32">
        <f>-'Debt Schedule'!G52</f>
        <v>0</v>
      </c>
      <c r="J191" s="32">
        <f>-'Debt Schedule'!H52</f>
        <v>0</v>
      </c>
      <c r="K191" s="32">
        <f>-'Debt Schedule'!I52</f>
        <v>0</v>
      </c>
      <c r="L191" s="32">
        <f>-'Debt Schedule'!J52</f>
        <v>0</v>
      </c>
      <c r="M191" s="44"/>
      <c r="N191" s="44"/>
      <c r="O191" s="44"/>
      <c r="P191" s="44"/>
      <c r="Q191" s="44"/>
      <c r="R191" s="44"/>
      <c r="S191" s="25"/>
    </row>
    <row r="192" spans="1:19">
      <c r="B192" s="44" t="s">
        <v>85</v>
      </c>
      <c r="C192" s="44"/>
      <c r="D192" s="44"/>
      <c r="E192" s="44"/>
      <c r="F192" s="32"/>
      <c r="G192" s="32">
        <f ca="1">'Debt Schedule'!E30-'Debt Schedule'!D30</f>
        <v>0</v>
      </c>
      <c r="H192" s="32">
        <f ca="1">'Debt Schedule'!F30-'Debt Schedule'!E30</f>
        <v>0</v>
      </c>
      <c r="I192" s="32">
        <f ca="1">'Debt Schedule'!G30-'Debt Schedule'!F30</f>
        <v>0</v>
      </c>
      <c r="J192" s="32">
        <f ca="1">'Debt Schedule'!H30-'Debt Schedule'!G30</f>
        <v>0</v>
      </c>
      <c r="K192" s="32">
        <f ca="1">'Debt Schedule'!I30-'Debt Schedule'!H30</f>
        <v>0</v>
      </c>
      <c r="L192" s="32">
        <f ca="1">'Debt Schedule'!J30-'Debt Schedule'!I30</f>
        <v>0</v>
      </c>
      <c r="M192" s="44"/>
      <c r="N192" s="44"/>
      <c r="O192" s="44"/>
      <c r="P192" s="44"/>
      <c r="Q192" s="44"/>
      <c r="R192" s="44"/>
      <c r="S192" s="25"/>
    </row>
    <row r="193" spans="1:19" s="28" customFormat="1" ht="5.0999999999999996" customHeight="1">
      <c r="A193" s="25"/>
      <c r="B193" s="44"/>
      <c r="C193" s="44"/>
      <c r="D193" s="44"/>
      <c r="E193" s="44"/>
      <c r="F193" s="32"/>
      <c r="G193" s="386"/>
      <c r="H193" s="386"/>
      <c r="I193" s="386"/>
      <c r="J193" s="386"/>
      <c r="K193" s="386"/>
      <c r="L193" s="386"/>
      <c r="M193" s="44"/>
      <c r="N193" s="44"/>
      <c r="O193" s="44"/>
      <c r="P193" s="44"/>
      <c r="Q193" s="44"/>
      <c r="R193" s="44"/>
      <c r="S193" s="25"/>
    </row>
    <row r="194" spans="1:19" s="16" customFormat="1">
      <c r="A194" s="98"/>
      <c r="B194" s="46" t="s">
        <v>222</v>
      </c>
      <c r="C194" s="383"/>
      <c r="D194" s="383"/>
      <c r="E194" s="383"/>
      <c r="F194" s="46"/>
      <c r="G194" s="46">
        <f ca="1">SUM(G186:G192)</f>
        <v>-3750</v>
      </c>
      <c r="H194" s="46">
        <f t="shared" ref="H194:L194" ca="1" si="98">SUM(H186:H192)</f>
        <v>-3750</v>
      </c>
      <c r="I194" s="46">
        <f t="shared" ca="1" si="98"/>
        <v>-4500</v>
      </c>
      <c r="J194" s="46">
        <f t="shared" ca="1" si="98"/>
        <v>-4500</v>
      </c>
      <c r="K194" s="46">
        <f t="shared" ca="1" si="98"/>
        <v>-4500</v>
      </c>
      <c r="L194" s="46">
        <f t="shared" ca="1" si="98"/>
        <v>0</v>
      </c>
      <c r="M194" s="383"/>
      <c r="N194" s="383"/>
      <c r="O194" s="383"/>
      <c r="P194" s="383"/>
      <c r="Q194" s="383"/>
      <c r="R194" s="383"/>
      <c r="S194" s="208"/>
    </row>
    <row r="195" spans="1:19" ht="5.0999999999999996" customHeight="1">
      <c r="M195" s="44"/>
      <c r="N195" s="44"/>
      <c r="O195" s="44"/>
      <c r="P195" s="44"/>
      <c r="Q195" s="44"/>
      <c r="R195" s="44"/>
      <c r="S195" s="25"/>
    </row>
    <row r="196" spans="1:19">
      <c r="B196" s="35" t="s">
        <v>60</v>
      </c>
      <c r="C196" s="35"/>
      <c r="D196" s="35"/>
      <c r="E196" s="35"/>
      <c r="F196" s="35"/>
      <c r="G196" s="35">
        <f t="shared" ref="G196:L196" ca="1" si="99">G175+G182+G194</f>
        <v>1105.1908000000012</v>
      </c>
      <c r="H196" s="35">
        <f t="shared" ca="1" si="99"/>
        <v>1557.1534650000031</v>
      </c>
      <c r="I196" s="35">
        <f t="shared" ca="1" si="99"/>
        <v>1282.2080132500014</v>
      </c>
      <c r="J196" s="35">
        <f t="shared" ca="1" si="99"/>
        <v>1786.4996639124947</v>
      </c>
      <c r="K196" s="35">
        <f t="shared" ca="1" si="99"/>
        <v>2308.6933971081226</v>
      </c>
      <c r="L196" s="35">
        <f t="shared" ca="1" si="99"/>
        <v>7217.0593169635267</v>
      </c>
      <c r="M196" s="46"/>
      <c r="N196" s="46"/>
      <c r="O196" s="46"/>
      <c r="P196" s="46"/>
      <c r="Q196" s="46"/>
      <c r="R196" s="46"/>
      <c r="S196" s="25"/>
    </row>
    <row r="197" spans="1:19">
      <c r="B197" s="32" t="s">
        <v>33</v>
      </c>
      <c r="C197" s="32"/>
      <c r="D197" s="32"/>
      <c r="E197" s="32"/>
      <c r="F197" s="33"/>
      <c r="G197" s="32">
        <f>F77</f>
        <v>0</v>
      </c>
      <c r="H197" s="32">
        <f ca="1">G198</f>
        <v>1105.1908000000012</v>
      </c>
      <c r="I197" s="32">
        <f ca="1">H198</f>
        <v>2662.3442650000043</v>
      </c>
      <c r="J197" s="32">
        <f ca="1">I198</f>
        <v>3944.5522782500057</v>
      </c>
      <c r="K197" s="32">
        <f ca="1">J198</f>
        <v>5731.0519421625004</v>
      </c>
      <c r="L197" s="32">
        <f ca="1">K198</f>
        <v>8039.7453392706229</v>
      </c>
      <c r="M197" s="32"/>
      <c r="N197" s="32"/>
      <c r="O197" s="32"/>
      <c r="P197" s="32"/>
      <c r="Q197" s="32"/>
      <c r="R197" s="32"/>
      <c r="S197" s="25"/>
    </row>
    <row r="198" spans="1:19" ht="14.65" thickBot="1">
      <c r="B198" s="48" t="s">
        <v>61</v>
      </c>
      <c r="C198" s="48"/>
      <c r="D198" s="48"/>
      <c r="E198" s="48"/>
      <c r="F198" s="36"/>
      <c r="G198" s="48">
        <f t="shared" ref="G198:L198" ca="1" si="100">G196+G197</f>
        <v>1105.1908000000012</v>
      </c>
      <c r="H198" s="48">
        <f t="shared" ca="1" si="100"/>
        <v>2662.3442650000043</v>
      </c>
      <c r="I198" s="48">
        <f t="shared" ca="1" si="100"/>
        <v>3944.5522782500057</v>
      </c>
      <c r="J198" s="48">
        <f t="shared" ca="1" si="100"/>
        <v>5731.0519421625004</v>
      </c>
      <c r="K198" s="48">
        <f t="shared" ca="1" si="100"/>
        <v>8039.7453392706229</v>
      </c>
      <c r="L198" s="48">
        <f t="shared" ca="1" si="100"/>
        <v>15256.80465623415</v>
      </c>
      <c r="M198" s="46"/>
      <c r="N198" s="46"/>
      <c r="O198" s="46"/>
      <c r="P198" s="46"/>
      <c r="Q198" s="46"/>
      <c r="R198" s="46"/>
      <c r="S198" s="25"/>
    </row>
    <row r="199" spans="1:19" ht="14.65" thickTop="1"/>
    <row r="201" spans="1:19">
      <c r="G201" s="347"/>
    </row>
    <row r="203" spans="1:19">
      <c r="G203" s="31"/>
      <c r="H203" s="31"/>
      <c r="I203" s="31"/>
      <c r="J203" s="31"/>
      <c r="K203" s="31"/>
      <c r="L203" s="31"/>
    </row>
    <row r="204" spans="1:19">
      <c r="G204" s="31"/>
      <c r="H204" s="31"/>
      <c r="I204" s="31"/>
      <c r="J204" s="31"/>
      <c r="K204" s="31"/>
      <c r="L204" s="31"/>
    </row>
    <row r="205" spans="1:19">
      <c r="G205" s="351"/>
      <c r="H205" s="351"/>
      <c r="I205" s="351"/>
      <c r="J205" s="351"/>
      <c r="K205" s="351"/>
      <c r="L205" s="351"/>
    </row>
    <row r="206" spans="1:19">
      <c r="G206" s="347"/>
      <c r="H206" s="347"/>
      <c r="I206" s="347"/>
      <c r="J206" s="347"/>
      <c r="K206" s="347"/>
      <c r="L206" s="347"/>
    </row>
  </sheetData>
  <conditionalFormatting sqref="F8">
    <cfRule type="expression" dxfId="2" priority="4">
      <formula>"$K$9=""Y"""</formula>
    </cfRule>
  </conditionalFormatting>
  <conditionalFormatting sqref="G8">
    <cfRule type="expression" dxfId="1" priority="1">
      <formula>"$K$9=""Y"""</formula>
    </cfRule>
  </conditionalFormatting>
  <printOptions horizontalCentered="1"/>
  <pageMargins left="0.7" right="0.7" top="0.75" bottom="0.75" header="0.3" footer="0.3"/>
  <pageSetup paperSize="5" scale="70" fitToHeight="4" orientation="landscape" r:id="rId1"/>
  <headerFooter>
    <oddHeader>&amp;F</oddHeader>
    <oddFooter>&amp;L&amp;B Confidential&amp;B&amp;C&amp;D&amp;RPage &amp;P</oddFooter>
  </headerFooter>
  <rowBreaks count="3" manualBreakCount="3">
    <brk id="50" min="1" max="12" man="1"/>
    <brk id="102" min="1" max="12" man="1"/>
    <brk id="145" min="1" max="12" man="1"/>
  </rowBreaks>
  <ignoredErrors>
    <ignoredError sqref="H79:L79 G78:L78 S1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" defaultRowHeight="14.25"/>
  <cols>
    <col min="1" max="1" width="1.59765625" style="421" customWidth="1"/>
    <col min="2" max="2" width="25" style="422" bestFit="1" customWidth="1"/>
    <col min="3" max="3" width="4.59765625" style="422" customWidth="1"/>
    <col min="4" max="9" width="15.59765625" style="422" customWidth="1"/>
    <col min="10" max="16384" width="9" style="422"/>
  </cols>
  <sheetData>
    <row r="1" spans="2:9">
      <c r="B1" s="253" t="str">
        <f>'Sources &amp; Uses'!B1</f>
        <v>COMPANY</v>
      </c>
      <c r="C1" s="98"/>
      <c r="D1" s="430"/>
    </row>
    <row r="2" spans="2:9">
      <c r="B2" s="16" t="s">
        <v>258</v>
      </c>
      <c r="C2" s="16"/>
    </row>
    <row r="3" spans="2:9" ht="2.1" customHeight="1">
      <c r="B3" s="419"/>
      <c r="C3" s="419"/>
      <c r="D3" s="419"/>
      <c r="E3" s="419"/>
      <c r="F3" s="419"/>
      <c r="G3" s="419"/>
      <c r="H3" s="419"/>
      <c r="I3" s="419"/>
    </row>
    <row r="4" spans="2:9" ht="15" customHeight="1">
      <c r="B4" s="285">
        <f>'Exit Analysis'!K1</f>
        <v>1</v>
      </c>
      <c r="C4" s="420"/>
      <c r="D4" s="420"/>
      <c r="E4" s="420"/>
      <c r="F4" s="420"/>
      <c r="G4" s="420"/>
      <c r="H4" s="420"/>
      <c r="I4" s="420"/>
    </row>
    <row r="5" spans="2:9">
      <c r="D5" s="431" t="s">
        <v>4</v>
      </c>
      <c r="E5" s="431"/>
      <c r="F5" s="431"/>
      <c r="G5" s="431"/>
      <c r="H5" s="431"/>
    </row>
    <row r="6" spans="2:9">
      <c r="D6" s="432">
        <v>1</v>
      </c>
      <c r="E6" s="433">
        <f>D6+1</f>
        <v>2</v>
      </c>
      <c r="F6" s="433">
        <f t="shared" ref="F6:I6" si="0">E6+1</f>
        <v>3</v>
      </c>
      <c r="G6" s="433">
        <f t="shared" si="0"/>
        <v>4</v>
      </c>
      <c r="H6" s="433">
        <f t="shared" si="0"/>
        <v>5</v>
      </c>
      <c r="I6" s="434">
        <f t="shared" si="0"/>
        <v>6</v>
      </c>
    </row>
    <row r="7" spans="2:9">
      <c r="D7" s="298">
        <f t="shared" ref="D7:I7" si="1">YEAR(D8)</f>
        <v>2018</v>
      </c>
      <c r="E7" s="256">
        <f t="shared" si="1"/>
        <v>2019</v>
      </c>
      <c r="F7" s="256">
        <f t="shared" si="1"/>
        <v>2020</v>
      </c>
      <c r="G7" s="256">
        <f t="shared" si="1"/>
        <v>2021</v>
      </c>
      <c r="H7" s="256">
        <f t="shared" si="1"/>
        <v>2022</v>
      </c>
      <c r="I7" s="299">
        <f t="shared" si="1"/>
        <v>2023</v>
      </c>
    </row>
    <row r="8" spans="2:9">
      <c r="C8" s="435"/>
      <c r="D8" s="436">
        <f>'Post-Transaction Fncl Sts'!G8</f>
        <v>43465</v>
      </c>
      <c r="E8" s="143">
        <f t="shared" ref="E8:I8" si="2">DATE(YEAR(D8)+1,MONTH(D8),DAY(D8))</f>
        <v>43830</v>
      </c>
      <c r="F8" s="143">
        <f t="shared" si="2"/>
        <v>44196</v>
      </c>
      <c r="G8" s="143">
        <f t="shared" si="2"/>
        <v>44561</v>
      </c>
      <c r="H8" s="143">
        <f t="shared" si="2"/>
        <v>44926</v>
      </c>
      <c r="I8" s="300">
        <f t="shared" si="2"/>
        <v>45291</v>
      </c>
    </row>
    <row r="9" spans="2:9">
      <c r="D9" s="144">
        <f>'Post-Transaction Fncl Sts'!G9</f>
        <v>12</v>
      </c>
      <c r="E9" s="145">
        <f t="shared" ref="E9:I9" si="3">DAYS360(D8,E8)/30</f>
        <v>12</v>
      </c>
      <c r="F9" s="145">
        <f t="shared" si="3"/>
        <v>12</v>
      </c>
      <c r="G9" s="145">
        <f t="shared" si="3"/>
        <v>12</v>
      </c>
      <c r="H9" s="145">
        <f t="shared" si="3"/>
        <v>12</v>
      </c>
      <c r="I9" s="146">
        <f t="shared" si="3"/>
        <v>12</v>
      </c>
    </row>
    <row r="10" spans="2:9">
      <c r="C10" s="437"/>
      <c r="D10" s="438"/>
    </row>
    <row r="11" spans="2:9">
      <c r="B11" s="16" t="s">
        <v>259</v>
      </c>
      <c r="C11" s="277"/>
      <c r="D11" s="439">
        <f>CHOOSE($B$4,D12,D13,D14)</f>
        <v>0.05</v>
      </c>
      <c r="E11" s="439">
        <f t="shared" ref="E11:I11" si="4">CHOOSE($B$4,E12,E13,E14)</f>
        <v>0.05</v>
      </c>
      <c r="F11" s="439">
        <f t="shared" si="4"/>
        <v>0.05</v>
      </c>
      <c r="G11" s="439">
        <f t="shared" si="4"/>
        <v>0.05</v>
      </c>
      <c r="H11" s="439">
        <f t="shared" si="4"/>
        <v>0.05</v>
      </c>
      <c r="I11" s="439">
        <f t="shared" si="4"/>
        <v>0.05</v>
      </c>
    </row>
    <row r="12" spans="2:9">
      <c r="B12" s="440">
        <v>1</v>
      </c>
      <c r="C12" s="102"/>
      <c r="D12" s="441">
        <v>0.05</v>
      </c>
      <c r="E12" s="441">
        <v>0.05</v>
      </c>
      <c r="F12" s="441">
        <v>0.05</v>
      </c>
      <c r="G12" s="441">
        <v>0.05</v>
      </c>
      <c r="H12" s="441">
        <v>0.05</v>
      </c>
      <c r="I12" s="441">
        <v>0.05</v>
      </c>
    </row>
    <row r="13" spans="2:9">
      <c r="B13" s="440">
        <v>2</v>
      </c>
      <c r="C13" s="102"/>
      <c r="D13" s="441">
        <v>0.1</v>
      </c>
      <c r="E13" s="441">
        <v>0.1</v>
      </c>
      <c r="F13" s="441">
        <v>0.1</v>
      </c>
      <c r="G13" s="441">
        <v>0.1</v>
      </c>
      <c r="H13" s="441">
        <v>0.1</v>
      </c>
      <c r="I13" s="441">
        <v>0.1</v>
      </c>
    </row>
    <row r="14" spans="2:9">
      <c r="B14" s="440">
        <v>3</v>
      </c>
      <c r="C14" s="102"/>
      <c r="D14" s="441">
        <v>0.2</v>
      </c>
      <c r="E14" s="441">
        <v>0.2</v>
      </c>
      <c r="F14" s="441">
        <v>0.2</v>
      </c>
      <c r="G14" s="441">
        <v>0.2</v>
      </c>
      <c r="H14" s="441">
        <v>0.2</v>
      </c>
      <c r="I14" s="441">
        <v>0.2</v>
      </c>
    </row>
    <row r="15" spans="2:9">
      <c r="B15" s="27"/>
      <c r="C15" s="102"/>
      <c r="D15" s="78"/>
      <c r="E15" s="78"/>
      <c r="F15" s="78"/>
      <c r="G15" s="78"/>
      <c r="H15" s="78"/>
      <c r="I15" s="78"/>
    </row>
    <row r="16" spans="2:9" ht="5.0999999999999996" customHeight="1">
      <c r="B16" s="27"/>
      <c r="C16" s="102"/>
      <c r="D16" s="78"/>
      <c r="E16" s="26"/>
      <c r="F16" s="26"/>
      <c r="G16" s="26"/>
      <c r="H16" s="26"/>
    </row>
    <row r="17" spans="1:9">
      <c r="B17" s="98" t="s">
        <v>260</v>
      </c>
      <c r="C17" s="356"/>
      <c r="D17" s="439">
        <f>CHOOSE($B$4,D18,D19,D20)</f>
        <v>0.58765999999999996</v>
      </c>
      <c r="E17" s="439">
        <f t="shared" ref="E17:I17" si="5">CHOOSE($B$4,E18,E19,E20)</f>
        <v>0.58765999999999996</v>
      </c>
      <c r="F17" s="439">
        <f t="shared" si="5"/>
        <v>0.58765999999999996</v>
      </c>
      <c r="G17" s="439">
        <f t="shared" si="5"/>
        <v>0.58766000000000007</v>
      </c>
      <c r="H17" s="439">
        <f t="shared" si="5"/>
        <v>0.58766000000000007</v>
      </c>
      <c r="I17" s="439">
        <f t="shared" si="5"/>
        <v>0.58765999999999996</v>
      </c>
    </row>
    <row r="18" spans="1:9" s="100" customFormat="1">
      <c r="A18" s="421"/>
      <c r="B18" s="440">
        <v>1</v>
      </c>
      <c r="C18" s="102"/>
      <c r="D18" s="441">
        <v>0.58765999999999996</v>
      </c>
      <c r="E18" s="441">
        <v>0.58765999999999996</v>
      </c>
      <c r="F18" s="441">
        <v>0.58765999999999996</v>
      </c>
      <c r="G18" s="441">
        <v>0.58766000000000007</v>
      </c>
      <c r="H18" s="441">
        <v>0.58766000000000007</v>
      </c>
      <c r="I18" s="441">
        <v>0.58765999999999996</v>
      </c>
    </row>
    <row r="19" spans="1:9" s="100" customFormat="1">
      <c r="A19" s="421"/>
      <c r="B19" s="440">
        <v>2</v>
      </c>
      <c r="C19" s="102"/>
      <c r="D19" s="441">
        <v>0.58765999999999996</v>
      </c>
      <c r="E19" s="441">
        <v>0.58765999999999996</v>
      </c>
      <c r="F19" s="441">
        <v>0.58765999999999996</v>
      </c>
      <c r="G19" s="441">
        <v>0.58766000000000007</v>
      </c>
      <c r="H19" s="441">
        <v>0.58766000000000007</v>
      </c>
      <c r="I19" s="441">
        <v>0.58765999999999996</v>
      </c>
    </row>
    <row r="20" spans="1:9" s="100" customFormat="1">
      <c r="A20" s="421"/>
      <c r="B20" s="440">
        <v>3</v>
      </c>
      <c r="C20" s="102"/>
      <c r="D20" s="441">
        <v>0.58765999999999996</v>
      </c>
      <c r="E20" s="441">
        <v>0.58765999999999996</v>
      </c>
      <c r="F20" s="441">
        <v>0.58765999999999996</v>
      </c>
      <c r="G20" s="441">
        <v>0.58766000000000007</v>
      </c>
      <c r="H20" s="441">
        <v>0.58766000000000007</v>
      </c>
      <c r="I20" s="441">
        <v>0.58765999999999996</v>
      </c>
    </row>
    <row r="21" spans="1:9" s="100" customFormat="1" ht="5.0999999999999996" customHeight="1">
      <c r="A21" s="421"/>
      <c r="B21" s="210"/>
      <c r="C21" s="102"/>
      <c r="D21" s="73"/>
      <c r="E21" s="73"/>
      <c r="F21" s="73"/>
      <c r="G21" s="73"/>
      <c r="H21" s="73"/>
      <c r="I21" s="73"/>
    </row>
    <row r="22" spans="1:9" ht="5.0999999999999996" customHeight="1">
      <c r="B22" s="210"/>
      <c r="C22" s="102"/>
      <c r="D22" s="73"/>
      <c r="E22" s="73"/>
      <c r="F22" s="73"/>
      <c r="G22" s="73"/>
      <c r="H22" s="73"/>
      <c r="I22" s="73"/>
    </row>
    <row r="23" spans="1:9">
      <c r="B23" s="208" t="s">
        <v>261</v>
      </c>
      <c r="C23" s="356"/>
      <c r="D23" s="439">
        <f>CHOOSE($B$4,D24,D25,D26)</f>
        <v>0.17190720000000001</v>
      </c>
      <c r="E23" s="439">
        <f t="shared" ref="E23:I23" si="6">CHOOSE($B$4,E24,E25,E26)</f>
        <v>0.17190719999999998</v>
      </c>
      <c r="F23" s="439">
        <f t="shared" si="6"/>
        <v>0.17190719999999998</v>
      </c>
      <c r="G23" s="439">
        <f t="shared" si="6"/>
        <v>0.17190720000000007</v>
      </c>
      <c r="H23" s="439">
        <f t="shared" si="6"/>
        <v>0.17190719999999995</v>
      </c>
      <c r="I23" s="439">
        <f t="shared" si="6"/>
        <v>0.17190720000000007</v>
      </c>
    </row>
    <row r="24" spans="1:9">
      <c r="B24" s="440">
        <v>1</v>
      </c>
      <c r="C24" s="102"/>
      <c r="D24" s="441">
        <v>0.17190720000000001</v>
      </c>
      <c r="E24" s="441">
        <v>0.17190719999999998</v>
      </c>
      <c r="F24" s="441">
        <v>0.17190719999999998</v>
      </c>
      <c r="G24" s="441">
        <v>0.17190720000000007</v>
      </c>
      <c r="H24" s="441">
        <v>0.17190719999999995</v>
      </c>
      <c r="I24" s="441">
        <v>0.17190720000000007</v>
      </c>
    </row>
    <row r="25" spans="1:9">
      <c r="B25" s="440">
        <v>2</v>
      </c>
      <c r="C25" s="102"/>
      <c r="D25" s="441">
        <v>0.17190720000000001</v>
      </c>
      <c r="E25" s="441">
        <v>0.17190719999999998</v>
      </c>
      <c r="F25" s="441">
        <v>0.17190719999999998</v>
      </c>
      <c r="G25" s="441">
        <v>0.17190720000000007</v>
      </c>
      <c r="H25" s="441">
        <v>0.17190719999999995</v>
      </c>
      <c r="I25" s="441">
        <v>0.17190720000000007</v>
      </c>
    </row>
    <row r="26" spans="1:9">
      <c r="B26" s="440">
        <v>3</v>
      </c>
      <c r="C26" s="102"/>
      <c r="D26" s="441">
        <v>0.17190720000000001</v>
      </c>
      <c r="E26" s="441">
        <v>0.17190719999999998</v>
      </c>
      <c r="F26" s="441">
        <v>0.17190719999999998</v>
      </c>
      <c r="G26" s="441">
        <v>0.17190720000000007</v>
      </c>
      <c r="H26" s="441">
        <v>0.17190719999999995</v>
      </c>
      <c r="I26" s="441">
        <v>0.17190720000000007</v>
      </c>
    </row>
    <row r="27" spans="1:9" ht="5.0999999999999996" customHeight="1">
      <c r="B27" s="27"/>
      <c r="C27" s="102"/>
      <c r="D27" s="73"/>
      <c r="E27" s="73"/>
      <c r="F27" s="73"/>
      <c r="G27" s="73"/>
      <c r="H27" s="73"/>
      <c r="I27" s="73"/>
    </row>
  </sheetData>
  <conditionalFormatting sqref="D8">
    <cfRule type="expression" dxfId="0" priority="1">
      <formula>"$K$9=""Y"""</formula>
    </cfRule>
  </conditionalFormatting>
  <printOptions horizontalCentered="1"/>
  <pageMargins left="0.7" right="0.7" top="0.75" bottom="0.75" header="0.3" footer="0.3"/>
  <pageSetup paperSize="5" scale="70" fitToHeight="4" orientation="landscape" r:id="rId1"/>
  <headerFooter>
    <oddHeader>&amp;F</oddHeader>
    <oddFooter>&amp;L&amp;B Confidential&amp;B&amp;C&amp;D&amp;RPage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zoomScale="85" zoomScaleNormal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4.25"/>
  <cols>
    <col min="1" max="1" width="1.59765625" style="127" customWidth="1"/>
    <col min="2" max="2" width="49.73046875" bestFit="1" customWidth="1"/>
    <col min="3" max="3" width="9.265625" bestFit="1" customWidth="1"/>
    <col min="4" max="10" width="15.59765625" customWidth="1"/>
    <col min="11" max="11" width="1.59765625" customWidth="1"/>
    <col min="12" max="12" width="66.59765625" customWidth="1"/>
  </cols>
  <sheetData>
    <row r="1" spans="2:12">
      <c r="B1" s="16" t="str">
        <f>'Sources &amp; Uses'!B1</f>
        <v>COMPANY</v>
      </c>
      <c r="C1" s="128"/>
      <c r="D1" s="128"/>
      <c r="E1" s="128"/>
      <c r="F1" s="128"/>
      <c r="G1" s="128"/>
      <c r="H1" s="128"/>
      <c r="I1" s="128"/>
      <c r="J1" s="128"/>
    </row>
    <row r="2" spans="2:12">
      <c r="B2" s="16" t="s">
        <v>202</v>
      </c>
      <c r="C2" s="128"/>
      <c r="D2" s="128"/>
      <c r="E2" s="128"/>
      <c r="F2" s="128"/>
      <c r="G2" s="128"/>
      <c r="H2" s="128"/>
      <c r="I2" s="128"/>
      <c r="J2" s="128"/>
    </row>
    <row r="3" spans="2:12" ht="3" customHeight="1">
      <c r="B3" s="151"/>
      <c r="C3" s="151"/>
      <c r="D3" s="151"/>
      <c r="E3" s="151"/>
      <c r="F3" s="151"/>
      <c r="G3" s="151"/>
      <c r="H3" s="151"/>
      <c r="I3" s="151"/>
      <c r="J3" s="151"/>
    </row>
    <row r="4" spans="2:12">
      <c r="B4" s="285">
        <f>'Exit Analysis'!K1</f>
        <v>1</v>
      </c>
      <c r="C4" s="121"/>
      <c r="D4" s="121"/>
      <c r="E4" s="121"/>
      <c r="F4" s="121"/>
      <c r="G4" s="121"/>
      <c r="H4" s="121"/>
      <c r="I4" s="121"/>
      <c r="J4" s="121"/>
    </row>
    <row r="5" spans="2:12">
      <c r="B5" s="129"/>
      <c r="C5" s="129"/>
      <c r="D5" s="166"/>
      <c r="E5" s="167" t="s">
        <v>4</v>
      </c>
      <c r="F5" s="167"/>
      <c r="G5" s="167"/>
      <c r="H5" s="167"/>
      <c r="I5" s="167"/>
      <c r="J5" s="167"/>
    </row>
    <row r="6" spans="2:12">
      <c r="B6" s="129"/>
      <c r="C6" s="129"/>
      <c r="D6" s="168" t="s">
        <v>43</v>
      </c>
      <c r="E6" s="169">
        <f>'Post-Transaction Fncl Sts'!G6</f>
        <v>1</v>
      </c>
      <c r="F6" s="169">
        <f>'Post-Transaction Fncl Sts'!H6</f>
        <v>2</v>
      </c>
      <c r="G6" s="169">
        <f>'Post-Transaction Fncl Sts'!I6</f>
        <v>3</v>
      </c>
      <c r="H6" s="169">
        <f>'Post-Transaction Fncl Sts'!J6</f>
        <v>4</v>
      </c>
      <c r="I6" s="169">
        <f>'Post-Transaction Fncl Sts'!K6</f>
        <v>5</v>
      </c>
      <c r="J6" s="170">
        <f>'Post-Transaction Fncl Sts'!L6</f>
        <v>6</v>
      </c>
    </row>
    <row r="7" spans="2:12">
      <c r="B7" s="129"/>
      <c r="C7" s="129"/>
      <c r="D7" s="171">
        <f>'Post-Transaction Fncl Sts'!F7</f>
        <v>2017</v>
      </c>
      <c r="E7" s="172">
        <f>'Post-Transaction Fncl Sts'!G7</f>
        <v>2018</v>
      </c>
      <c r="F7" s="172">
        <f>'Post-Transaction Fncl Sts'!H7</f>
        <v>2019</v>
      </c>
      <c r="G7" s="172">
        <f>'Post-Transaction Fncl Sts'!I7</f>
        <v>2020</v>
      </c>
      <c r="H7" s="172">
        <f>'Post-Transaction Fncl Sts'!J7</f>
        <v>2021</v>
      </c>
      <c r="I7" s="172">
        <f>'Post-Transaction Fncl Sts'!K7</f>
        <v>2022</v>
      </c>
      <c r="J7" s="173">
        <f>'Post-Transaction Fncl Sts'!L7</f>
        <v>2023</v>
      </c>
    </row>
    <row r="8" spans="2:12">
      <c r="B8" s="129"/>
      <c r="C8" s="129"/>
      <c r="D8" s="136">
        <f>'Post-Transaction Fncl Sts'!F8</f>
        <v>43100</v>
      </c>
      <c r="E8" s="137">
        <f>'Post-Transaction Fncl Sts'!G8</f>
        <v>43465</v>
      </c>
      <c r="F8" s="137">
        <f>'Post-Transaction Fncl Sts'!H8</f>
        <v>43830</v>
      </c>
      <c r="G8" s="137">
        <f>'Post-Transaction Fncl Sts'!I8</f>
        <v>44196</v>
      </c>
      <c r="H8" s="137">
        <f>'Post-Transaction Fncl Sts'!J8</f>
        <v>44561</v>
      </c>
      <c r="I8" s="137">
        <f>'Post-Transaction Fncl Sts'!K8</f>
        <v>44926</v>
      </c>
      <c r="J8" s="138">
        <f>'Post-Transaction Fncl Sts'!L8</f>
        <v>45291</v>
      </c>
    </row>
    <row r="9" spans="2:12">
      <c r="B9" s="129"/>
      <c r="C9" s="129"/>
      <c r="D9" s="139">
        <f>'Post-Transaction Fncl Sts'!F9</f>
        <v>12</v>
      </c>
      <c r="E9" s="140">
        <f>'Post-Transaction Fncl Sts'!G9</f>
        <v>12</v>
      </c>
      <c r="F9" s="140">
        <f>'Post-Transaction Fncl Sts'!H9</f>
        <v>12</v>
      </c>
      <c r="G9" s="140">
        <f>'Post-Transaction Fncl Sts'!I9</f>
        <v>12</v>
      </c>
      <c r="H9" s="140">
        <f>'Post-Transaction Fncl Sts'!J9</f>
        <v>12</v>
      </c>
      <c r="I9" s="140">
        <f>'Post-Transaction Fncl Sts'!K9</f>
        <v>12</v>
      </c>
      <c r="J9" s="141">
        <f>'Post-Transaction Fncl Sts'!L9</f>
        <v>12</v>
      </c>
    </row>
    <row r="10" spans="2:12" ht="5.0999999999999996" customHeight="1"/>
    <row r="11" spans="2:12" ht="3" customHeight="1">
      <c r="B11" s="419"/>
      <c r="C11" s="419"/>
      <c r="D11" s="419"/>
      <c r="E11" s="419"/>
      <c r="F11" s="419"/>
      <c r="G11" s="419"/>
      <c r="H11" s="419"/>
      <c r="I11" s="419"/>
      <c r="J11" s="419"/>
      <c r="L11" s="151"/>
    </row>
    <row r="12" spans="2:12" ht="15" customHeight="1">
      <c r="B12" s="420" t="s">
        <v>243</v>
      </c>
      <c r="C12" s="420"/>
      <c r="D12" s="420"/>
      <c r="E12" s="420"/>
      <c r="F12" s="420"/>
      <c r="G12" s="420"/>
      <c r="H12" s="420"/>
      <c r="I12" s="420"/>
      <c r="J12" s="420"/>
      <c r="L12" s="391" t="s">
        <v>213</v>
      </c>
    </row>
    <row r="13" spans="2:12" ht="5.0999999999999996" customHeight="1">
      <c r="B13" s="421"/>
      <c r="C13" s="421"/>
      <c r="D13" s="421"/>
      <c r="E13" s="421"/>
      <c r="F13" s="421"/>
      <c r="G13" s="421"/>
      <c r="H13" s="421"/>
      <c r="I13" s="421"/>
      <c r="J13" s="421"/>
    </row>
    <row r="14" spans="2:12" ht="15" customHeight="1">
      <c r="B14" s="422" t="s">
        <v>78</v>
      </c>
      <c r="C14" s="417"/>
      <c r="D14" s="417"/>
      <c r="E14" s="423">
        <f>'Post-Transaction Fncl Sts'!F77</f>
        <v>0</v>
      </c>
      <c r="F14" s="423">
        <f ca="1">'Post-Transaction Fncl Sts'!G77</f>
        <v>1105.1908000000012</v>
      </c>
      <c r="G14" s="423">
        <f ca="1">'Post-Transaction Fncl Sts'!H77</f>
        <v>2662.3442650000043</v>
      </c>
      <c r="H14" s="423">
        <f ca="1">'Post-Transaction Fncl Sts'!I77</f>
        <v>3944.5522782500057</v>
      </c>
      <c r="I14" s="423">
        <f ca="1">'Post-Transaction Fncl Sts'!J77</f>
        <v>5731.0519421625004</v>
      </c>
      <c r="J14" s="423">
        <f ca="1">'Post-Transaction Fncl Sts'!K77</f>
        <v>8039.7453392706229</v>
      </c>
    </row>
    <row r="15" spans="2:12" ht="15" customHeight="1">
      <c r="B15" s="417" t="s">
        <v>62</v>
      </c>
      <c r="C15" s="417"/>
      <c r="D15" s="417"/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</row>
    <row r="16" spans="2:12" ht="5.0999999999999996" customHeight="1">
      <c r="B16" s="417"/>
      <c r="C16" s="417"/>
      <c r="D16" s="417"/>
      <c r="E16" s="417"/>
      <c r="F16" s="417"/>
      <c r="G16" s="417"/>
      <c r="H16" s="417"/>
      <c r="I16" s="417"/>
      <c r="J16" s="417"/>
    </row>
    <row r="17" spans="2:12" ht="15" customHeight="1">
      <c r="B17" s="424" t="s">
        <v>244</v>
      </c>
      <c r="C17" s="417"/>
      <c r="D17" s="417"/>
      <c r="E17" s="417"/>
      <c r="F17" s="417"/>
      <c r="G17" s="417"/>
      <c r="H17" s="417"/>
      <c r="I17" s="417"/>
      <c r="J17" s="417"/>
    </row>
    <row r="18" spans="2:12" ht="15" customHeight="1">
      <c r="B18" s="417" t="s">
        <v>219</v>
      </c>
      <c r="C18" s="417"/>
      <c r="D18" s="417"/>
      <c r="E18" s="423">
        <f ca="1">'Post-Transaction Fncl Sts'!G175</f>
        <v>6727.6908000000012</v>
      </c>
      <c r="F18" s="423">
        <f ca="1">'Post-Transaction Fncl Sts'!H175</f>
        <v>7273.2784650000031</v>
      </c>
      <c r="G18" s="423">
        <f ca="1">'Post-Transaction Fncl Sts'!I175</f>
        <v>7846.6392632500019</v>
      </c>
      <c r="H18" s="423">
        <f ca="1">'Post-Transaction Fncl Sts'!J175</f>
        <v>8454.1524764124952</v>
      </c>
      <c r="I18" s="423">
        <f ca="1">'Post-Transaction Fncl Sts'!K175</f>
        <v>9084.728850233123</v>
      </c>
      <c r="J18" s="423">
        <f ca="1">'Post-Transaction Fncl Sts'!L175</f>
        <v>9606.8965427447765</v>
      </c>
    </row>
    <row r="19" spans="2:12" ht="15" customHeight="1">
      <c r="B19" s="445" t="s">
        <v>220</v>
      </c>
      <c r="C19" s="417"/>
      <c r="D19" s="417"/>
      <c r="E19" s="423">
        <f>'Post-Transaction Fncl Sts'!G182</f>
        <v>-1872.5000000000002</v>
      </c>
      <c r="F19" s="423">
        <f>'Post-Transaction Fncl Sts'!H182</f>
        <v>-1966.1250000000005</v>
      </c>
      <c r="G19" s="423">
        <f>'Post-Transaction Fncl Sts'!I182</f>
        <v>-2064.4312500000005</v>
      </c>
      <c r="H19" s="423">
        <f>'Post-Transaction Fncl Sts'!J182</f>
        <v>-2167.6528125000004</v>
      </c>
      <c r="I19" s="423">
        <f>'Post-Transaction Fncl Sts'!K182</f>
        <v>-2276.0354531250005</v>
      </c>
      <c r="J19" s="423">
        <f>'Post-Transaction Fncl Sts'!L182</f>
        <v>-2389.8372257812503</v>
      </c>
    </row>
    <row r="20" spans="2:12" ht="15" customHeight="1">
      <c r="B20" s="425" t="s">
        <v>245</v>
      </c>
      <c r="C20" s="426"/>
      <c r="D20" s="426"/>
      <c r="E20" s="427">
        <f ca="1">E14-E15+E18+E19</f>
        <v>4855.1908000000012</v>
      </c>
      <c r="F20" s="427">
        <f t="shared" ref="F20:J20" ca="1" si="0">F14-F15+F18+F19</f>
        <v>6412.3442650000034</v>
      </c>
      <c r="G20" s="427">
        <f t="shared" ca="1" si="0"/>
        <v>8444.5522782500047</v>
      </c>
      <c r="H20" s="427">
        <f t="shared" ca="1" si="0"/>
        <v>10231.051942162499</v>
      </c>
      <c r="I20" s="427">
        <f t="shared" ca="1" si="0"/>
        <v>12539.745339270623</v>
      </c>
      <c r="J20" s="427">
        <f t="shared" ca="1" si="0"/>
        <v>15256.80465623415</v>
      </c>
    </row>
    <row r="21" spans="2:12" ht="5.0999999999999996" customHeight="1">
      <c r="B21" s="417"/>
      <c r="C21" s="417"/>
      <c r="D21" s="417"/>
      <c r="E21" s="423"/>
      <c r="F21" s="423"/>
      <c r="G21" s="423"/>
      <c r="H21" s="423"/>
      <c r="I21" s="423"/>
      <c r="J21" s="423"/>
    </row>
    <row r="22" spans="2:12" ht="15" customHeight="1">
      <c r="B22" s="417" t="s">
        <v>246</v>
      </c>
      <c r="C22" s="417"/>
      <c r="D22" s="417"/>
      <c r="E22" s="423">
        <f ca="1">E35+E44+E58</f>
        <v>3750</v>
      </c>
      <c r="F22" s="423">
        <f t="shared" ref="F22:J22" ca="1" si="1">F35+F44+F58</f>
        <v>3750</v>
      </c>
      <c r="G22" s="423">
        <f t="shared" ca="1" si="1"/>
        <v>4500</v>
      </c>
      <c r="H22" s="423">
        <f t="shared" ca="1" si="1"/>
        <v>4500</v>
      </c>
      <c r="I22" s="423">
        <f t="shared" ca="1" si="1"/>
        <v>4500</v>
      </c>
      <c r="J22" s="423">
        <f t="shared" ca="1" si="1"/>
        <v>0</v>
      </c>
      <c r="L22" t="s">
        <v>248</v>
      </c>
    </row>
    <row r="23" spans="2:12" ht="5.0999999999999996" customHeight="1">
      <c r="B23" s="417"/>
      <c r="C23" s="417"/>
      <c r="D23" s="417"/>
      <c r="E23" s="423"/>
      <c r="F23" s="423"/>
      <c r="G23" s="423"/>
      <c r="H23" s="423"/>
      <c r="I23" s="423"/>
      <c r="J23" s="423"/>
    </row>
    <row r="24" spans="2:12" ht="15" customHeight="1">
      <c r="B24" s="425" t="s">
        <v>247</v>
      </c>
      <c r="C24" s="425"/>
      <c r="D24" s="425"/>
      <c r="E24" s="428">
        <f t="shared" ref="E24:J24" ca="1" si="2">E20-E22</f>
        <v>1105.1908000000012</v>
      </c>
      <c r="F24" s="428">
        <f t="shared" ca="1" si="2"/>
        <v>2662.3442650000034</v>
      </c>
      <c r="G24" s="428">
        <f t="shared" ca="1" si="2"/>
        <v>3944.5522782500047</v>
      </c>
      <c r="H24" s="428">
        <f t="shared" ca="1" si="2"/>
        <v>5731.0519421624995</v>
      </c>
      <c r="I24" s="428">
        <f t="shared" ca="1" si="2"/>
        <v>8039.7453392706229</v>
      </c>
      <c r="J24" s="428">
        <f t="shared" ca="1" si="2"/>
        <v>15256.80465623415</v>
      </c>
    </row>
    <row r="25" spans="2:12" ht="5.0999999999999996" customHeight="1"/>
    <row r="26" spans="2:12" ht="3" customHeight="1">
      <c r="B26" s="151"/>
      <c r="C26" s="151"/>
      <c r="D26" s="151"/>
      <c r="E26" s="151"/>
      <c r="F26" s="151"/>
      <c r="G26" s="151"/>
      <c r="H26" s="151"/>
      <c r="I26" s="151"/>
      <c r="J26" s="151"/>
      <c r="L26" s="151"/>
    </row>
    <row r="27" spans="2:12">
      <c r="B27" s="121" t="s">
        <v>86</v>
      </c>
      <c r="C27" s="121"/>
      <c r="D27" s="121"/>
      <c r="E27" s="121"/>
      <c r="F27" s="121"/>
      <c r="G27" s="121"/>
      <c r="H27" s="121"/>
      <c r="I27" s="121"/>
      <c r="J27" s="121"/>
      <c r="L27" s="391" t="s">
        <v>213</v>
      </c>
    </row>
    <row r="28" spans="2:12">
      <c r="B28" s="422" t="s">
        <v>53</v>
      </c>
      <c r="C28" s="128"/>
      <c r="D28" s="174"/>
      <c r="E28" s="174">
        <f>D30</f>
        <v>0</v>
      </c>
      <c r="F28" s="174">
        <f t="shared" ref="F28:J28" ca="1" si="3">E30</f>
        <v>0</v>
      </c>
      <c r="G28" s="174">
        <f t="shared" ca="1" si="3"/>
        <v>0</v>
      </c>
      <c r="H28" s="174">
        <f t="shared" ca="1" si="3"/>
        <v>0</v>
      </c>
      <c r="I28" s="174">
        <f t="shared" ca="1" si="3"/>
        <v>0</v>
      </c>
      <c r="J28" s="174">
        <f t="shared" ca="1" si="3"/>
        <v>0</v>
      </c>
    </row>
    <row r="29" spans="2:12">
      <c r="B29" s="422" t="s">
        <v>249</v>
      </c>
      <c r="C29" s="128"/>
      <c r="D29" s="174"/>
      <c r="E29" s="174">
        <f ca="1">IF(E24&lt;0,-E24,-MIN(E28,E24))</f>
        <v>0</v>
      </c>
      <c r="F29" s="174">
        <f t="shared" ref="F29:J29" ca="1" si="4">IF(F24&lt;0,-F24,-MIN(F28,F24))</f>
        <v>0</v>
      </c>
      <c r="G29" s="174">
        <f t="shared" ca="1" si="4"/>
        <v>0</v>
      </c>
      <c r="H29" s="174">
        <f t="shared" ca="1" si="4"/>
        <v>0</v>
      </c>
      <c r="I29" s="174">
        <f t="shared" ca="1" si="4"/>
        <v>0</v>
      </c>
      <c r="J29" s="174">
        <f t="shared" ca="1" si="4"/>
        <v>0</v>
      </c>
    </row>
    <row r="30" spans="2:12">
      <c r="B30" s="128" t="s">
        <v>84</v>
      </c>
      <c r="C30" s="180"/>
      <c r="D30" s="181">
        <f>'Post-Transaction Fncl Sts'!F120</f>
        <v>0</v>
      </c>
      <c r="E30" s="181">
        <f ca="1">SUM(E28:E29)</f>
        <v>0</v>
      </c>
      <c r="F30" s="181">
        <f t="shared" ref="F30:J30" ca="1" si="5">SUM(F28:F29)</f>
        <v>0</v>
      </c>
      <c r="G30" s="181">
        <f t="shared" ca="1" si="5"/>
        <v>0</v>
      </c>
      <c r="H30" s="181">
        <f t="shared" ca="1" si="5"/>
        <v>0</v>
      </c>
      <c r="I30" s="181">
        <f t="shared" ca="1" si="5"/>
        <v>0</v>
      </c>
      <c r="J30" s="181">
        <f t="shared" ca="1" si="5"/>
        <v>0</v>
      </c>
    </row>
    <row r="31" spans="2:12">
      <c r="B31" s="128" t="s">
        <v>50</v>
      </c>
      <c r="C31" s="291">
        <v>0.08</v>
      </c>
      <c r="D31" s="174"/>
      <c r="E31" s="174">
        <f t="shared" ref="E31:J31" ca="1" si="6">AVERAGE(D30,E30)*$C$31*(E$9/12)</f>
        <v>0</v>
      </c>
      <c r="F31" s="174">
        <f t="shared" ca="1" si="6"/>
        <v>0</v>
      </c>
      <c r="G31" s="174">
        <f t="shared" ca="1" si="6"/>
        <v>0</v>
      </c>
      <c r="H31" s="174">
        <f t="shared" ca="1" si="6"/>
        <v>0</v>
      </c>
      <c r="I31" s="174">
        <f t="shared" ca="1" si="6"/>
        <v>0</v>
      </c>
      <c r="J31" s="174">
        <f t="shared" ca="1" si="6"/>
        <v>0</v>
      </c>
    </row>
    <row r="32" spans="2:12">
      <c r="B32" s="121" t="s">
        <v>99</v>
      </c>
      <c r="C32" s="121"/>
      <c r="D32" s="121"/>
      <c r="E32" s="121"/>
      <c r="F32" s="121"/>
      <c r="G32" s="121"/>
      <c r="H32" s="121"/>
      <c r="I32" s="121"/>
      <c r="J32" s="121"/>
    </row>
    <row r="33" spans="1:12">
      <c r="B33" s="128" t="s">
        <v>53</v>
      </c>
      <c r="C33" s="128"/>
      <c r="D33" s="174"/>
      <c r="E33" s="174">
        <f t="shared" ref="E33:J33" si="7">D37</f>
        <v>30000</v>
      </c>
      <c r="F33" s="174">
        <f t="shared" si="7"/>
        <v>26250</v>
      </c>
      <c r="G33" s="174">
        <f t="shared" si="7"/>
        <v>22500</v>
      </c>
      <c r="H33" s="174">
        <f t="shared" si="7"/>
        <v>18000</v>
      </c>
      <c r="I33" s="174">
        <f t="shared" si="7"/>
        <v>13500</v>
      </c>
      <c r="J33" s="174">
        <f t="shared" si="7"/>
        <v>9000</v>
      </c>
    </row>
    <row r="34" spans="1:12">
      <c r="B34" s="325" t="s">
        <v>175</v>
      </c>
      <c r="C34" s="128"/>
      <c r="D34" s="174"/>
      <c r="E34" s="311">
        <v>0</v>
      </c>
      <c r="F34" s="311">
        <v>0</v>
      </c>
      <c r="G34" s="311">
        <v>0</v>
      </c>
      <c r="H34" s="311">
        <v>0</v>
      </c>
      <c r="I34" s="311">
        <v>0</v>
      </c>
      <c r="J34" s="311">
        <v>0</v>
      </c>
    </row>
    <row r="35" spans="1:12">
      <c r="B35" s="374" t="s">
        <v>212</v>
      </c>
      <c r="C35" s="326"/>
      <c r="D35" s="182"/>
      <c r="E35" s="182">
        <f>IF(D37&gt;=$D$37*E39,$D$37*E39,0)</f>
        <v>3750</v>
      </c>
      <c r="F35" s="182">
        <f t="shared" ref="F35:J35" si="8">IF(E37&gt;=$D$37*F39,$D$37*F39,0)</f>
        <v>3750</v>
      </c>
      <c r="G35" s="182">
        <f t="shared" si="8"/>
        <v>4500</v>
      </c>
      <c r="H35" s="182">
        <f t="shared" si="8"/>
        <v>4500</v>
      </c>
      <c r="I35" s="182">
        <f t="shared" si="8"/>
        <v>4500</v>
      </c>
      <c r="J35" s="182">
        <f t="shared" si="8"/>
        <v>0</v>
      </c>
    </row>
    <row r="36" spans="1:12">
      <c r="B36" s="422" t="s">
        <v>250</v>
      </c>
      <c r="C36" s="292" t="s">
        <v>251</v>
      </c>
      <c r="D36" s="182"/>
      <c r="E36" s="182">
        <f>IF($C36="ON",MIN(E33-E35,E24+E29),0)</f>
        <v>0</v>
      </c>
      <c r="F36" s="182">
        <f t="shared" ref="F36:J36" si="9">IF($C36="ON",MIN(F33-F35,F24+F29),0)</f>
        <v>0</v>
      </c>
      <c r="G36" s="182">
        <f t="shared" si="9"/>
        <v>0</v>
      </c>
      <c r="H36" s="182">
        <f t="shared" si="9"/>
        <v>0</v>
      </c>
      <c r="I36" s="182">
        <f t="shared" si="9"/>
        <v>0</v>
      </c>
      <c r="J36" s="182">
        <f t="shared" si="9"/>
        <v>0</v>
      </c>
    </row>
    <row r="37" spans="1:12">
      <c r="B37" s="128" t="s">
        <v>34</v>
      </c>
      <c r="C37" s="128"/>
      <c r="D37" s="181">
        <f>'Post-Transaction Fncl Sts'!Q60</f>
        <v>30000</v>
      </c>
      <c r="E37" s="181">
        <f>E33+E34-E35-E36</f>
        <v>26250</v>
      </c>
      <c r="F37" s="181">
        <f t="shared" ref="F37:J37" si="10">F33+F34-F35-F36</f>
        <v>22500</v>
      </c>
      <c r="G37" s="181">
        <f t="shared" si="10"/>
        <v>18000</v>
      </c>
      <c r="H37" s="181">
        <f t="shared" si="10"/>
        <v>13500</v>
      </c>
      <c r="I37" s="181">
        <f t="shared" si="10"/>
        <v>9000</v>
      </c>
      <c r="J37" s="181">
        <f t="shared" si="10"/>
        <v>9000</v>
      </c>
    </row>
    <row r="38" spans="1:12">
      <c r="B38" s="128" t="s">
        <v>50</v>
      </c>
      <c r="C38" s="291">
        <v>0.05</v>
      </c>
      <c r="D38" s="174"/>
      <c r="E38" s="174">
        <f t="shared" ref="E38:J38" si="11">AVERAGE(D37,E37)*$C$38*(E$9/12)</f>
        <v>1406.25</v>
      </c>
      <c r="F38" s="174">
        <f t="shared" si="11"/>
        <v>1218.75</v>
      </c>
      <c r="G38" s="174">
        <f t="shared" si="11"/>
        <v>1012.5</v>
      </c>
      <c r="H38" s="174">
        <f t="shared" si="11"/>
        <v>787.5</v>
      </c>
      <c r="I38" s="174">
        <f t="shared" si="11"/>
        <v>562.5</v>
      </c>
      <c r="J38" s="174">
        <f t="shared" si="11"/>
        <v>450</v>
      </c>
    </row>
    <row r="39" spans="1:12">
      <c r="B39" s="374" t="s">
        <v>211</v>
      </c>
      <c r="C39" s="301"/>
      <c r="D39" s="174"/>
      <c r="E39" s="322">
        <v>0.125</v>
      </c>
      <c r="F39" s="322">
        <v>0.125</v>
      </c>
      <c r="G39" s="322">
        <v>0.15</v>
      </c>
      <c r="H39" s="322">
        <v>0.15</v>
      </c>
      <c r="I39" s="322">
        <v>0.15</v>
      </c>
      <c r="J39" s="322">
        <v>0</v>
      </c>
      <c r="L39" t="s">
        <v>225</v>
      </c>
    </row>
    <row r="40" spans="1:12" s="127" customFormat="1" ht="5.0999999999999996" customHeight="1">
      <c r="B40" s="372"/>
      <c r="C40" s="301"/>
      <c r="D40" s="182"/>
      <c r="E40" s="373"/>
      <c r="F40" s="373"/>
      <c r="G40" s="373"/>
      <c r="H40" s="373"/>
      <c r="I40" s="373"/>
      <c r="J40" s="373"/>
    </row>
    <row r="41" spans="1:12">
      <c r="B41" s="121" t="str">
        <f>UPPER('Post-Transaction Fncl Sts'!P59)</f>
        <v>SUB DEBT</v>
      </c>
      <c r="C41" s="121"/>
      <c r="D41" s="121"/>
      <c r="E41" s="121"/>
      <c r="F41" s="121"/>
      <c r="G41" s="121"/>
      <c r="H41" s="121"/>
      <c r="I41" s="121"/>
      <c r="J41" s="121"/>
    </row>
    <row r="42" spans="1:12">
      <c r="B42" s="128" t="s">
        <v>53</v>
      </c>
      <c r="C42" s="128"/>
      <c r="D42" s="174"/>
      <c r="E42" s="174">
        <f t="shared" ref="E42:J42" si="12">D46</f>
        <v>10000</v>
      </c>
      <c r="F42" s="174">
        <f t="shared" si="12"/>
        <v>10000</v>
      </c>
      <c r="G42" s="174">
        <f t="shared" si="12"/>
        <v>10000</v>
      </c>
      <c r="H42" s="174">
        <f t="shared" si="12"/>
        <v>10000</v>
      </c>
      <c r="I42" s="174">
        <f t="shared" si="12"/>
        <v>10000</v>
      </c>
      <c r="J42" s="174">
        <f t="shared" si="12"/>
        <v>10000</v>
      </c>
    </row>
    <row r="43" spans="1:12">
      <c r="B43" s="128" t="s">
        <v>52</v>
      </c>
      <c r="C43" s="128"/>
      <c r="D43" s="174"/>
      <c r="E43" s="311">
        <v>0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</row>
    <row r="44" spans="1:12">
      <c r="B44" s="128" t="s">
        <v>51</v>
      </c>
      <c r="C44" s="292" t="s">
        <v>223</v>
      </c>
      <c r="D44" s="182"/>
      <c r="E44" s="182">
        <f>IF(AND(ISNUMBER($C$44),'PP&amp;E Schedule'!G6&lt;=$C$44),'Debt Schedule'!$D$46/$C$44,0)</f>
        <v>0</v>
      </c>
      <c r="F44" s="182">
        <f>IF(AND(ISNUMBER($C$44),'PP&amp;E Schedule'!H6&lt;=$C$44),'Debt Schedule'!$D$46/$C$44,0)</f>
        <v>0</v>
      </c>
      <c r="G44" s="182">
        <f>IF(AND(ISNUMBER($C$44),'PP&amp;E Schedule'!I6&lt;=$C$44),'Debt Schedule'!$D$46/$C$44,0)</f>
        <v>0</v>
      </c>
      <c r="H44" s="182">
        <f>IF(AND(ISNUMBER($C$44),'PP&amp;E Schedule'!J6&lt;=$C$44),'Debt Schedule'!$D$46/$C$44,0)</f>
        <v>0</v>
      </c>
      <c r="I44" s="182">
        <f>IF(AND(ISNUMBER($C$44),'PP&amp;E Schedule'!K6&lt;=$C$44),'Debt Schedule'!$D$46/$C$44,0)</f>
        <v>0</v>
      </c>
      <c r="J44" s="182">
        <f>IF(AND(ISNUMBER($C$44),'PP&amp;E Schedule'!L6&lt;=$C$44),'Debt Schedule'!$D$46/$C$44,0)</f>
        <v>0</v>
      </c>
      <c r="L44" t="s">
        <v>226</v>
      </c>
    </row>
    <row r="45" spans="1:12">
      <c r="B45" s="422" t="s">
        <v>250</v>
      </c>
      <c r="C45" s="292" t="s">
        <v>251</v>
      </c>
      <c r="D45" s="182"/>
      <c r="E45" s="182">
        <f>IF($C45="ON",MIN(E42-E44,E24+E29-E36),0)</f>
        <v>0</v>
      </c>
      <c r="F45" s="182">
        <f t="shared" ref="F45:J45" si="13">IF($C45="ON",MIN(F42-F44,F24+F29-F36),0)</f>
        <v>0</v>
      </c>
      <c r="G45" s="182">
        <f t="shared" si="13"/>
        <v>0</v>
      </c>
      <c r="H45" s="182">
        <f t="shared" si="13"/>
        <v>0</v>
      </c>
      <c r="I45" s="182">
        <f t="shared" si="13"/>
        <v>0</v>
      </c>
      <c r="J45" s="182">
        <f t="shared" si="13"/>
        <v>0</v>
      </c>
    </row>
    <row r="46" spans="1:12">
      <c r="B46" s="128" t="s">
        <v>34</v>
      </c>
      <c r="C46" s="128"/>
      <c r="D46" s="181">
        <f>'Post-Transaction Fncl Sts'!Q59</f>
        <v>10000</v>
      </c>
      <c r="E46" s="181">
        <f>E42+E43-E44-E45</f>
        <v>10000</v>
      </c>
      <c r="F46" s="181">
        <f t="shared" ref="F46:J46" si="14">F42+F43-F44-F45</f>
        <v>10000</v>
      </c>
      <c r="G46" s="181">
        <f t="shared" si="14"/>
        <v>10000</v>
      </c>
      <c r="H46" s="181">
        <f t="shared" si="14"/>
        <v>10000</v>
      </c>
      <c r="I46" s="181">
        <f t="shared" si="14"/>
        <v>10000</v>
      </c>
      <c r="J46" s="181">
        <f t="shared" si="14"/>
        <v>10000</v>
      </c>
    </row>
    <row r="47" spans="1:12">
      <c r="B47" s="128" t="s">
        <v>50</v>
      </c>
      <c r="C47" s="291">
        <v>0.12</v>
      </c>
      <c r="D47" s="174"/>
      <c r="E47" s="182">
        <f>AVERAGE(D46:E46)*$C47*(E$9/12)</f>
        <v>1200</v>
      </c>
      <c r="F47" s="182">
        <f t="shared" ref="F47:J47" si="15">AVERAGE(E46:F46)*$C47*(F$9/12)</f>
        <v>1200</v>
      </c>
      <c r="G47" s="182">
        <f t="shared" si="15"/>
        <v>1200</v>
      </c>
      <c r="H47" s="182">
        <f t="shared" si="15"/>
        <v>1200</v>
      </c>
      <c r="I47" s="182">
        <f t="shared" si="15"/>
        <v>1200</v>
      </c>
      <c r="J47" s="182">
        <f t="shared" si="15"/>
        <v>1200</v>
      </c>
    </row>
    <row r="48" spans="1:12" ht="15" customHeight="1">
      <c r="A48" s="411"/>
      <c r="B48" s="399" t="s">
        <v>233</v>
      </c>
      <c r="C48" s="399"/>
      <c r="D48" s="399"/>
      <c r="E48" s="399"/>
      <c r="F48" s="399"/>
      <c r="G48" s="399"/>
      <c r="H48" s="399"/>
      <c r="I48" s="399"/>
      <c r="J48" s="399"/>
    </row>
    <row r="49" spans="1:12" ht="15" customHeight="1">
      <c r="A49" s="411"/>
      <c r="B49" s="404" t="s">
        <v>53</v>
      </c>
      <c r="C49" s="404"/>
      <c r="D49" s="174"/>
      <c r="E49" s="182">
        <f>D53</f>
        <v>32500</v>
      </c>
      <c r="F49" s="182">
        <f ca="1">E53</f>
        <v>35208.333333333336</v>
      </c>
      <c r="G49" s="182">
        <f t="shared" ref="G49:J49" ca="1" si="16">F53</f>
        <v>38142.361111111109</v>
      </c>
      <c r="H49" s="182">
        <f t="shared" ca="1" si="16"/>
        <v>41320.891203703701</v>
      </c>
      <c r="I49" s="182">
        <f t="shared" ca="1" si="16"/>
        <v>44764.298804012345</v>
      </c>
      <c r="J49" s="182">
        <f t="shared" ca="1" si="16"/>
        <v>48494.657037680037</v>
      </c>
    </row>
    <row r="50" spans="1:12" ht="15" customHeight="1">
      <c r="A50" s="411"/>
      <c r="B50" s="404" t="s">
        <v>52</v>
      </c>
      <c r="C50" s="405"/>
      <c r="D50" s="174"/>
      <c r="E50" s="311">
        <v>0</v>
      </c>
      <c r="F50" s="311">
        <v>0</v>
      </c>
      <c r="G50" s="311">
        <v>0</v>
      </c>
      <c r="H50" s="311">
        <v>0</v>
      </c>
      <c r="I50" s="311">
        <v>0</v>
      </c>
      <c r="J50" s="311">
        <v>0</v>
      </c>
    </row>
    <row r="51" spans="1:12" ht="15" customHeight="1">
      <c r="A51" s="411"/>
      <c r="B51" s="404" t="s">
        <v>240</v>
      </c>
      <c r="C51" s="405"/>
      <c r="D51" s="174"/>
      <c r="E51" s="413">
        <f ca="1">E59</f>
        <v>2708.3333333333339</v>
      </c>
      <c r="F51" s="413">
        <f t="shared" ref="F51:J51" ca="1" si="17">F59</f>
        <v>2934.0277777777774</v>
      </c>
      <c r="G51" s="413">
        <f t="shared" ca="1" si="17"/>
        <v>3178.5300925925922</v>
      </c>
      <c r="H51" s="413">
        <f t="shared" ca="1" si="17"/>
        <v>3443.4076003086416</v>
      </c>
      <c r="I51" s="413">
        <f t="shared" ca="1" si="17"/>
        <v>3730.3582336676955</v>
      </c>
      <c r="J51" s="413">
        <f t="shared" ca="1" si="17"/>
        <v>4041.2214198066704</v>
      </c>
    </row>
    <row r="52" spans="1:12" s="127" customFormat="1" ht="15" customHeight="1">
      <c r="B52" s="422" t="s">
        <v>250</v>
      </c>
      <c r="C52" s="292" t="s">
        <v>251</v>
      </c>
      <c r="D52" s="182"/>
      <c r="E52" s="413">
        <f>IF($C52="ON",MIN(E49+E51,E24+E29-E36-E45),0)</f>
        <v>0</v>
      </c>
      <c r="F52" s="413">
        <f t="shared" ref="F52:J52" si="18">IF($C52="ON",MIN(F49+F51,F24+F29-F36-F45),0)</f>
        <v>0</v>
      </c>
      <c r="G52" s="413">
        <f t="shared" si="18"/>
        <v>0</v>
      </c>
      <c r="H52" s="413">
        <f t="shared" si="18"/>
        <v>0</v>
      </c>
      <c r="I52" s="413">
        <f t="shared" si="18"/>
        <v>0</v>
      </c>
      <c r="J52" s="413">
        <f t="shared" si="18"/>
        <v>0</v>
      </c>
    </row>
    <row r="53" spans="1:12" ht="15" customHeight="1">
      <c r="B53" s="404" t="s">
        <v>34</v>
      </c>
      <c r="C53" s="408"/>
      <c r="D53" s="181">
        <f>'Sources &amp; Uses'!J8</f>
        <v>32500</v>
      </c>
      <c r="E53" s="409">
        <f ca="1">E49+E50+E51-E52</f>
        <v>35208.333333333336</v>
      </c>
      <c r="F53" s="409">
        <f t="shared" ref="F53:J53" ca="1" si="19">F49+F50+F51-F52</f>
        <v>38142.361111111109</v>
      </c>
      <c r="G53" s="409">
        <f ca="1">G49+G50+G51-G52</f>
        <v>41320.891203703701</v>
      </c>
      <c r="H53" s="409">
        <f t="shared" ca="1" si="19"/>
        <v>44764.298804012345</v>
      </c>
      <c r="I53" s="409">
        <f ca="1">I49+I50+I51-I52</f>
        <v>48494.657037680037</v>
      </c>
      <c r="J53" s="409">
        <f t="shared" ca="1" si="19"/>
        <v>52535.87845748671</v>
      </c>
    </row>
    <row r="54" spans="1:12" ht="5.0999999999999996" customHeight="1">
      <c r="A54" s="411"/>
      <c r="B54" s="128"/>
      <c r="C54" s="305"/>
      <c r="D54" s="174"/>
      <c r="E54" s="182"/>
      <c r="F54" s="182"/>
      <c r="G54" s="182"/>
      <c r="H54" s="182"/>
      <c r="I54" s="182"/>
      <c r="J54" s="182"/>
    </row>
    <row r="55" spans="1:12" ht="15" customHeight="1">
      <c r="A55" s="411"/>
      <c r="B55" s="404" t="s">
        <v>235</v>
      </c>
      <c r="C55" s="406">
        <v>0.08</v>
      </c>
      <c r="D55" s="174"/>
      <c r="E55" s="182">
        <f ca="1">AVERAGE(E49,E53)*$C$55</f>
        <v>2708.3333333333339</v>
      </c>
      <c r="F55" s="182">
        <f t="shared" ref="F55:J55" ca="1" si="20">AVERAGE(F49,F53)*$C$55</f>
        <v>2934.0277777777774</v>
      </c>
      <c r="G55" s="182">
        <f t="shared" ca="1" si="20"/>
        <v>3178.5300925925922</v>
      </c>
      <c r="H55" s="182">
        <f t="shared" ca="1" si="20"/>
        <v>3443.4076003086416</v>
      </c>
      <c r="I55" s="182">
        <f t="shared" ca="1" si="20"/>
        <v>3730.3582336676955</v>
      </c>
      <c r="J55" s="182">
        <f t="shared" ca="1" si="20"/>
        <v>4041.2214198066704</v>
      </c>
    </row>
    <row r="56" spans="1:12" ht="15" customHeight="1">
      <c r="A56" s="411"/>
      <c r="B56" s="404" t="s">
        <v>239</v>
      </c>
      <c r="C56" s="407"/>
      <c r="D56" s="174"/>
      <c r="E56" s="410">
        <v>1</v>
      </c>
      <c r="F56" s="410">
        <v>1</v>
      </c>
      <c r="G56" s="410">
        <v>1</v>
      </c>
      <c r="H56" s="410">
        <v>1</v>
      </c>
      <c r="I56" s="410">
        <v>1</v>
      </c>
      <c r="J56" s="410">
        <v>1</v>
      </c>
    </row>
    <row r="57" spans="1:12" s="127" customFormat="1" ht="5.0999999999999996" customHeight="1">
      <c r="A57" s="411"/>
      <c r="B57" s="411"/>
      <c r="C57" s="407"/>
      <c r="D57" s="182"/>
      <c r="E57" s="412"/>
      <c r="F57" s="412"/>
      <c r="G57" s="412"/>
      <c r="H57" s="412"/>
      <c r="I57" s="412"/>
      <c r="J57" s="412"/>
    </row>
    <row r="58" spans="1:12" s="127" customFormat="1" ht="15" customHeight="1">
      <c r="A58" s="411"/>
      <c r="B58" s="411" t="s">
        <v>236</v>
      </c>
      <c r="C58" s="407"/>
      <c r="D58" s="182"/>
      <c r="E58" s="413">
        <f ca="1">E55*(1-E56)</f>
        <v>0</v>
      </c>
      <c r="F58" s="413">
        <f t="shared" ref="F58:J58" ca="1" si="21">F55*(1-F56)</f>
        <v>0</v>
      </c>
      <c r="G58" s="413">
        <f t="shared" ca="1" si="21"/>
        <v>0</v>
      </c>
      <c r="H58" s="413">
        <f t="shared" ca="1" si="21"/>
        <v>0</v>
      </c>
      <c r="I58" s="413">
        <f t="shared" ca="1" si="21"/>
        <v>0</v>
      </c>
      <c r="J58" s="413">
        <f t="shared" ca="1" si="21"/>
        <v>0</v>
      </c>
    </row>
    <row r="59" spans="1:12" ht="15" customHeight="1">
      <c r="A59" s="411"/>
      <c r="B59" s="404" t="s">
        <v>237</v>
      </c>
      <c r="C59" s="407"/>
      <c r="D59" s="174"/>
      <c r="E59" s="413">
        <f ca="1">E55*E56</f>
        <v>2708.3333333333339</v>
      </c>
      <c r="F59" s="413">
        <f t="shared" ref="F59:J59" ca="1" si="22">F55*F56</f>
        <v>2934.0277777777774</v>
      </c>
      <c r="G59" s="413">
        <f t="shared" ca="1" si="22"/>
        <v>3178.5300925925922</v>
      </c>
      <c r="H59" s="413">
        <f t="shared" ca="1" si="22"/>
        <v>3443.4076003086416</v>
      </c>
      <c r="I59" s="413">
        <f t="shared" ca="1" si="22"/>
        <v>3730.3582336676955</v>
      </c>
      <c r="J59" s="413">
        <f t="shared" ca="1" si="22"/>
        <v>4041.2214198066704</v>
      </c>
    </row>
    <row r="60" spans="1:12" ht="5.0999999999999996" customHeight="1">
      <c r="B60" s="128"/>
      <c r="C60" s="305"/>
      <c r="D60" s="174"/>
      <c r="E60" s="182"/>
      <c r="F60" s="182"/>
      <c r="G60" s="182"/>
      <c r="H60" s="182"/>
      <c r="I60" s="182"/>
      <c r="J60" s="182"/>
    </row>
    <row r="61" spans="1:12">
      <c r="B61" s="121" t="s">
        <v>49</v>
      </c>
      <c r="C61" s="121"/>
      <c r="D61" s="121"/>
      <c r="E61" s="121"/>
      <c r="F61" s="121"/>
      <c r="G61" s="121"/>
      <c r="H61" s="121"/>
      <c r="I61" s="121"/>
      <c r="J61" s="121"/>
    </row>
    <row r="62" spans="1:12">
      <c r="B62" s="129" t="s">
        <v>119</v>
      </c>
      <c r="C62" s="129"/>
      <c r="D62" s="129"/>
      <c r="E62" s="311">
        <v>0</v>
      </c>
      <c r="F62" s="311">
        <v>0</v>
      </c>
      <c r="G62" s="311">
        <v>0</v>
      </c>
      <c r="H62" s="311">
        <v>0</v>
      </c>
      <c r="I62" s="311">
        <v>0</v>
      </c>
      <c r="J62" s="311">
        <v>0</v>
      </c>
      <c r="L62" t="s">
        <v>227</v>
      </c>
    </row>
    <row r="63" spans="1:12">
      <c r="B63" s="129" t="s">
        <v>120</v>
      </c>
      <c r="C63" s="129"/>
      <c r="D63" s="129"/>
      <c r="E63" s="182">
        <f t="shared" ref="E63:J63" ca="1" si="23">E31+E38+E47</f>
        <v>2606.25</v>
      </c>
      <c r="F63" s="182">
        <f t="shared" ca="1" si="23"/>
        <v>2418.75</v>
      </c>
      <c r="G63" s="182">
        <f t="shared" ca="1" si="23"/>
        <v>2212.5</v>
      </c>
      <c r="H63" s="182">
        <f t="shared" ca="1" si="23"/>
        <v>1987.5</v>
      </c>
      <c r="I63" s="182">
        <f t="shared" ca="1" si="23"/>
        <v>1762.5</v>
      </c>
      <c r="J63" s="182">
        <f t="shared" ca="1" si="23"/>
        <v>1650</v>
      </c>
    </row>
    <row r="64" spans="1:12" ht="14.65" thickBot="1">
      <c r="B64" s="185" t="s">
        <v>48</v>
      </c>
      <c r="C64" s="185"/>
      <c r="D64" s="186"/>
      <c r="E64" s="186">
        <f t="shared" ref="E64:J64" ca="1" si="24">E62+E63</f>
        <v>2606.25</v>
      </c>
      <c r="F64" s="186">
        <f t="shared" ca="1" si="24"/>
        <v>2418.75</v>
      </c>
      <c r="G64" s="186">
        <f t="shared" ca="1" si="24"/>
        <v>2212.5</v>
      </c>
      <c r="H64" s="186">
        <f t="shared" ca="1" si="24"/>
        <v>1987.5</v>
      </c>
      <c r="I64" s="186">
        <f t="shared" ca="1" si="24"/>
        <v>1762.5</v>
      </c>
      <c r="J64" s="186">
        <f t="shared" ca="1" si="24"/>
        <v>1650</v>
      </c>
    </row>
  </sheetData>
  <printOptions horizontalCentered="1"/>
  <pageMargins left="0.7" right="0.7" top="0.75" bottom="0.75" header="0.3" footer="0.3"/>
  <pageSetup paperSize="5" scale="92" fitToHeight="4" orientation="landscape" verticalDpi="1200" r:id="rId1"/>
  <headerFooter>
    <oddHeader>&amp;F</oddHeader>
    <oddFooter>&amp;L&amp;B Confidential&amp;B&amp;C&amp;D&amp;RPage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="85" zoomScaleNormal="85" zoomScaleSheetLayoutView="75" workbookViewId="0">
      <pane xSplit="5" ySplit="9" topLeftCell="F10" activePane="bottomRight" state="frozen"/>
      <selection pane="topRight" activeCell="J1" sqref="J1"/>
      <selection pane="bottomLeft" activeCell="A10" sqref="A10"/>
      <selection pane="bottomRight" activeCell="F10" sqref="F10"/>
    </sheetView>
  </sheetViews>
  <sheetFormatPr defaultColWidth="9" defaultRowHeight="14.25"/>
  <cols>
    <col min="1" max="1" width="1.59765625" style="129" customWidth="1"/>
    <col min="2" max="2" width="34.46484375" style="128" bestFit="1" customWidth="1"/>
    <col min="3" max="3" width="9" style="128"/>
    <col min="4" max="12" width="15.59765625" style="128" customWidth="1"/>
    <col min="13" max="13" width="9" style="128"/>
    <col min="14" max="14" width="9.265625" style="128" bestFit="1" customWidth="1"/>
    <col min="15" max="15" width="10.265625" style="128" bestFit="1" customWidth="1"/>
    <col min="16" max="16384" width="9" style="128"/>
  </cols>
  <sheetData>
    <row r="1" spans="1:12">
      <c r="B1" s="16" t="str">
        <f>'Sources &amp; Uses'!B1</f>
        <v>COMPANY</v>
      </c>
    </row>
    <row r="2" spans="1:12">
      <c r="B2" s="16" t="s">
        <v>157</v>
      </c>
      <c r="H2" s="293"/>
      <c r="I2" s="293"/>
      <c r="J2" s="293"/>
      <c r="K2" s="293"/>
      <c r="L2" s="293"/>
    </row>
    <row r="3" spans="1:12" ht="2.1" customHeigh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5" customHeight="1">
      <c r="B4" s="285">
        <f>'Exit Analysis'!K1</f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5" customHeight="1">
      <c r="B5" s="129"/>
      <c r="C5" s="129"/>
      <c r="D5" s="129"/>
      <c r="E5" s="129"/>
      <c r="F5" s="166"/>
      <c r="G5" s="167" t="s">
        <v>4</v>
      </c>
      <c r="H5" s="167"/>
      <c r="I5" s="167"/>
      <c r="J5" s="167"/>
      <c r="K5" s="167"/>
      <c r="L5" s="167"/>
    </row>
    <row r="6" spans="1:12" ht="15" customHeight="1">
      <c r="B6" s="129"/>
      <c r="C6" s="129"/>
      <c r="D6" s="460" t="s">
        <v>43</v>
      </c>
      <c r="E6" s="458" t="s">
        <v>43</v>
      </c>
      <c r="F6" s="458" t="s">
        <v>43</v>
      </c>
      <c r="G6" s="169">
        <f>'Post-Transaction Fncl Sts'!G6</f>
        <v>1</v>
      </c>
      <c r="H6" s="169">
        <f>'Post-Transaction Fncl Sts'!H6</f>
        <v>2</v>
      </c>
      <c r="I6" s="169">
        <f>'Post-Transaction Fncl Sts'!I6</f>
        <v>3</v>
      </c>
      <c r="J6" s="169">
        <f>'Post-Transaction Fncl Sts'!J6</f>
        <v>4</v>
      </c>
      <c r="K6" s="169">
        <f>'Post-Transaction Fncl Sts'!K6</f>
        <v>5</v>
      </c>
      <c r="L6" s="170">
        <f>'Post-Transaction Fncl Sts'!L6</f>
        <v>6</v>
      </c>
    </row>
    <row r="7" spans="1:12" ht="15" customHeight="1">
      <c r="B7" s="129"/>
      <c r="C7" s="129"/>
      <c r="D7" s="461">
        <f>'Post-Transaction Fncl Sts'!D7</f>
        <v>2015</v>
      </c>
      <c r="E7" s="459">
        <f>'Post-Transaction Fncl Sts'!E7</f>
        <v>2016</v>
      </c>
      <c r="F7" s="459">
        <f>'Post-Transaction Fncl Sts'!F7</f>
        <v>2017</v>
      </c>
      <c r="G7" s="172">
        <f>'Post-Transaction Fncl Sts'!G7</f>
        <v>2018</v>
      </c>
      <c r="H7" s="172">
        <f>'Post-Transaction Fncl Sts'!H7</f>
        <v>2019</v>
      </c>
      <c r="I7" s="172">
        <f>'Post-Transaction Fncl Sts'!I7</f>
        <v>2020</v>
      </c>
      <c r="J7" s="172">
        <f>'Post-Transaction Fncl Sts'!J7</f>
        <v>2021</v>
      </c>
      <c r="K7" s="172">
        <f>'Post-Transaction Fncl Sts'!K7</f>
        <v>2022</v>
      </c>
      <c r="L7" s="173">
        <f>'Post-Transaction Fncl Sts'!L7</f>
        <v>2023</v>
      </c>
    </row>
    <row r="8" spans="1:12" ht="15" customHeight="1">
      <c r="B8" s="129"/>
      <c r="C8" s="129"/>
      <c r="D8" s="462">
        <f>'Post-Transaction Fncl Sts'!D8</f>
        <v>42369</v>
      </c>
      <c r="E8" s="138">
        <f>'Post-Transaction Fncl Sts'!E8</f>
        <v>42735</v>
      </c>
      <c r="F8" s="138">
        <f>'Post-Transaction Fncl Sts'!F8</f>
        <v>43100</v>
      </c>
      <c r="G8" s="137">
        <f>'Post-Transaction Fncl Sts'!G8</f>
        <v>43465</v>
      </c>
      <c r="H8" s="137">
        <f>'Post-Transaction Fncl Sts'!H8</f>
        <v>43830</v>
      </c>
      <c r="I8" s="137">
        <f>'Post-Transaction Fncl Sts'!I8</f>
        <v>44196</v>
      </c>
      <c r="J8" s="137">
        <f>'Post-Transaction Fncl Sts'!J8</f>
        <v>44561</v>
      </c>
      <c r="K8" s="137">
        <f>'Post-Transaction Fncl Sts'!K8</f>
        <v>44926</v>
      </c>
      <c r="L8" s="138">
        <f>'Post-Transaction Fncl Sts'!L8</f>
        <v>45291</v>
      </c>
    </row>
    <row r="9" spans="1:12" ht="15" customHeight="1">
      <c r="B9" s="129"/>
      <c r="C9" s="129"/>
      <c r="D9" s="463">
        <f>'Post-Transaction Fncl Sts'!D9</f>
        <v>12</v>
      </c>
      <c r="E9" s="141">
        <f>'Post-Transaction Fncl Sts'!E9</f>
        <v>12</v>
      </c>
      <c r="F9" s="141">
        <f>'Post-Transaction Fncl Sts'!F9</f>
        <v>12</v>
      </c>
      <c r="G9" s="140">
        <f>'Post-Transaction Fncl Sts'!G9</f>
        <v>12</v>
      </c>
      <c r="H9" s="140">
        <f>'Post-Transaction Fncl Sts'!H9</f>
        <v>12</v>
      </c>
      <c r="I9" s="140">
        <f>'Post-Transaction Fncl Sts'!I9</f>
        <v>12</v>
      </c>
      <c r="J9" s="140">
        <f>'Post-Transaction Fncl Sts'!J9</f>
        <v>12</v>
      </c>
      <c r="K9" s="140">
        <f>'Post-Transaction Fncl Sts'!K9</f>
        <v>12</v>
      </c>
      <c r="L9" s="141">
        <f>'Post-Transaction Fncl Sts'!L9</f>
        <v>12</v>
      </c>
    </row>
    <row r="10" spans="1:12">
      <c r="B10" s="121" t="str">
        <f>'Post-Transaction Fncl Sts'!B87</f>
        <v>PP&amp;E Item 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>
      <c r="A11" s="471"/>
      <c r="B11" s="16" t="s">
        <v>53</v>
      </c>
      <c r="C11" s="16"/>
      <c r="D11" s="16"/>
      <c r="E11" s="467"/>
      <c r="F11" s="467"/>
      <c r="G11" s="467">
        <f t="shared" ref="G11:L11" si="0">F22</f>
        <v>12000</v>
      </c>
      <c r="H11" s="467">
        <f t="shared" ca="1" si="0"/>
        <v>12561.75</v>
      </c>
      <c r="I11" s="467">
        <f t="shared" ca="1" si="0"/>
        <v>13151.5875</v>
      </c>
      <c r="J11" s="467">
        <f t="shared" ca="1" si="0"/>
        <v>13770.916874999999</v>
      </c>
      <c r="K11" s="467">
        <f t="shared" ca="1" si="0"/>
        <v>14421.212718749999</v>
      </c>
      <c r="L11" s="467">
        <f t="shared" ca="1" si="0"/>
        <v>15104.023354687499</v>
      </c>
    </row>
    <row r="12" spans="1:12" ht="5.0999999999999996" customHeight="1">
      <c r="A12" s="471"/>
      <c r="E12" s="174"/>
      <c r="F12" s="174"/>
      <c r="G12" s="174"/>
      <c r="H12" s="174"/>
      <c r="I12" s="174"/>
      <c r="J12" s="174"/>
      <c r="K12" s="174"/>
      <c r="L12" s="174"/>
    </row>
    <row r="13" spans="1:12">
      <c r="A13" s="471"/>
      <c r="B13" s="16" t="s">
        <v>56</v>
      </c>
      <c r="C13" s="16"/>
      <c r="D13" s="465">
        <v>1750</v>
      </c>
      <c r="E13" s="465">
        <v>1800</v>
      </c>
      <c r="F13" s="465">
        <v>1800</v>
      </c>
      <c r="G13" s="466">
        <f>'Post-Transaction Fncl Sts'!G11*G14</f>
        <v>1872.5000000000002</v>
      </c>
      <c r="H13" s="466">
        <f>'Post-Transaction Fncl Sts'!H11*H14</f>
        <v>1966.1250000000005</v>
      </c>
      <c r="I13" s="466">
        <f>'Post-Transaction Fncl Sts'!I11*I14</f>
        <v>2064.4312500000005</v>
      </c>
      <c r="J13" s="466">
        <f>'Post-Transaction Fncl Sts'!J11*J14</f>
        <v>2167.6528125000004</v>
      </c>
      <c r="K13" s="466">
        <f>'Post-Transaction Fncl Sts'!K11*K14</f>
        <v>2276.0354531250005</v>
      </c>
      <c r="L13" s="466">
        <f>'Post-Transaction Fncl Sts'!L11*L14</f>
        <v>2389.8372257812503</v>
      </c>
    </row>
    <row r="14" spans="1:12">
      <c r="A14" s="471"/>
      <c r="B14" s="453" t="s">
        <v>273</v>
      </c>
      <c r="D14" s="456">
        <f>D13/'Post-Transaction Fncl Sts'!D11</f>
        <v>3.5000000000000003E-2</v>
      </c>
      <c r="E14" s="456">
        <f>E13/'Post-Transaction Fncl Sts'!E11</f>
        <v>3.5999999999999997E-2</v>
      </c>
      <c r="F14" s="456">
        <f>F13/'Post-Transaction Fncl Sts'!F11</f>
        <v>3.5999999999999997E-2</v>
      </c>
      <c r="G14" s="470">
        <f>AVERAGE($D$14:$F$14)</f>
        <v>3.5666666666666673E-2</v>
      </c>
      <c r="H14" s="470">
        <f>G14</f>
        <v>3.5666666666666673E-2</v>
      </c>
      <c r="I14" s="470">
        <f t="shared" ref="I14:L14" si="1">H14</f>
        <v>3.5666666666666673E-2</v>
      </c>
      <c r="J14" s="470">
        <f t="shared" si="1"/>
        <v>3.5666666666666673E-2</v>
      </c>
      <c r="K14" s="470">
        <f t="shared" si="1"/>
        <v>3.5666666666666673E-2</v>
      </c>
      <c r="L14" s="470">
        <f t="shared" si="1"/>
        <v>3.5666666666666673E-2</v>
      </c>
    </row>
    <row r="15" spans="1:12" s="129" customFormat="1">
      <c r="A15" s="471"/>
      <c r="B15" s="454" t="s">
        <v>274</v>
      </c>
      <c r="F15" s="457"/>
      <c r="G15" s="456">
        <f>G13/F13-1</f>
        <v>4.0277777777777857E-2</v>
      </c>
      <c r="H15" s="456">
        <f t="shared" ref="H15:L15" si="2">H13/G13-1</f>
        <v>5.0000000000000044E-2</v>
      </c>
      <c r="I15" s="456">
        <f t="shared" si="2"/>
        <v>5.0000000000000044E-2</v>
      </c>
      <c r="J15" s="456">
        <f t="shared" si="2"/>
        <v>5.0000000000000044E-2</v>
      </c>
      <c r="K15" s="456">
        <f t="shared" si="2"/>
        <v>5.0000000000000044E-2</v>
      </c>
      <c r="L15" s="456">
        <f t="shared" si="2"/>
        <v>4.9999999999999822E-2</v>
      </c>
    </row>
    <row r="16" spans="1:12" ht="5.0999999999999996" customHeight="1">
      <c r="A16" s="471"/>
      <c r="F16" s="174"/>
      <c r="G16" s="174"/>
      <c r="H16" s="174"/>
      <c r="I16" s="174"/>
      <c r="J16" s="174"/>
      <c r="K16" s="174"/>
      <c r="L16" s="174"/>
    </row>
    <row r="17" spans="1:13">
      <c r="A17" s="471"/>
      <c r="B17" s="16" t="s">
        <v>55</v>
      </c>
      <c r="C17" s="447"/>
      <c r="D17" s="464">
        <f>'Post-Transaction Fncl Sts'!D26</f>
        <v>1250</v>
      </c>
      <c r="E17" s="464">
        <f>'Post-Transaction Fncl Sts'!E26</f>
        <v>1250</v>
      </c>
      <c r="F17" s="464">
        <f>'Post-Transaction Fncl Sts'!F26</f>
        <v>1250</v>
      </c>
      <c r="G17" s="464">
        <f ca="1">'Post-Transaction Fncl Sts'!G11*G18</f>
        <v>1310.75</v>
      </c>
      <c r="H17" s="464">
        <f ca="1">'Post-Transaction Fncl Sts'!H11*H18</f>
        <v>1376.2875000000001</v>
      </c>
      <c r="I17" s="464">
        <f ca="1">'Post-Transaction Fncl Sts'!I11*I18</f>
        <v>1445.1018750000003</v>
      </c>
      <c r="J17" s="464">
        <f ca="1">'Post-Transaction Fncl Sts'!J11*J18</f>
        <v>1517.3569687500003</v>
      </c>
      <c r="K17" s="464">
        <f ca="1">'Post-Transaction Fncl Sts'!K11*K18</f>
        <v>1593.2248171875003</v>
      </c>
      <c r="L17" s="464">
        <f ca="1">'Post-Transaction Fncl Sts'!L11*L18</f>
        <v>1672.8860580468752</v>
      </c>
    </row>
    <row r="18" spans="1:13">
      <c r="A18" s="471"/>
      <c r="B18" s="453" t="s">
        <v>273</v>
      </c>
      <c r="C18" s="176"/>
      <c r="D18" s="456">
        <f>D17/'Post-Transaction Fncl Sts'!D11</f>
        <v>2.5000000000000001E-2</v>
      </c>
      <c r="E18" s="456">
        <f>E17/'Post-Transaction Fncl Sts'!E11</f>
        <v>2.5000000000000001E-2</v>
      </c>
      <c r="F18" s="456">
        <f>F17/'Post-Transaction Fncl Sts'!F11</f>
        <v>2.5000000000000001E-2</v>
      </c>
      <c r="G18" s="456">
        <f ca="1">G17/'Post-Transaction Fncl Sts'!G11</f>
        <v>2.4966666666666668E-2</v>
      </c>
      <c r="H18" s="456">
        <f ca="1">H17/'Post-Transaction Fncl Sts'!H11</f>
        <v>2.4966666666666668E-2</v>
      </c>
      <c r="I18" s="456">
        <f ca="1">I17/'Post-Transaction Fncl Sts'!I11</f>
        <v>2.4966666666666672E-2</v>
      </c>
      <c r="J18" s="456">
        <f ca="1">J17/'Post-Transaction Fncl Sts'!J11</f>
        <v>2.4966666666666672E-2</v>
      </c>
      <c r="K18" s="456">
        <f ca="1">K17/'Post-Transaction Fncl Sts'!K11</f>
        <v>2.4966666666666672E-2</v>
      </c>
      <c r="L18" s="456">
        <f ca="1">L17/'Post-Transaction Fncl Sts'!L11</f>
        <v>2.4966666666666672E-2</v>
      </c>
    </row>
    <row r="19" spans="1:13">
      <c r="A19" s="471"/>
      <c r="B19" s="453" t="s">
        <v>275</v>
      </c>
      <c r="C19" s="176"/>
      <c r="D19" s="455">
        <f>D17/D13</f>
        <v>0.7142857142857143</v>
      </c>
      <c r="E19" s="455">
        <f>E17/E13</f>
        <v>0.69444444444444442</v>
      </c>
      <c r="F19" s="455">
        <f>F17/F13</f>
        <v>0.69444444444444442</v>
      </c>
      <c r="G19" s="455">
        <f t="shared" ref="G19:L19" ca="1" si="3">G17/G13</f>
        <v>0.7</v>
      </c>
      <c r="H19" s="455">
        <f t="shared" ca="1" si="3"/>
        <v>0.7</v>
      </c>
      <c r="I19" s="455">
        <f t="shared" ca="1" si="3"/>
        <v>0.7</v>
      </c>
      <c r="J19" s="455">
        <f t="shared" ca="1" si="3"/>
        <v>0.7</v>
      </c>
      <c r="K19" s="455">
        <f t="shared" ca="1" si="3"/>
        <v>0.7</v>
      </c>
      <c r="L19" s="455">
        <f t="shared" ca="1" si="3"/>
        <v>0.7</v>
      </c>
    </row>
    <row r="20" spans="1:13">
      <c r="A20" s="471"/>
      <c r="B20" s="453" t="s">
        <v>276</v>
      </c>
      <c r="C20" s="176"/>
      <c r="D20" s="455"/>
      <c r="E20" s="455"/>
      <c r="F20" s="455">
        <f>F17/F22</f>
        <v>0.10416666666666667</v>
      </c>
      <c r="G20" s="455">
        <f t="shared" ref="G20:L20" ca="1" si="4">G17/G22</f>
        <v>0.10434453798236711</v>
      </c>
      <c r="H20" s="455">
        <f t="shared" ca="1" si="4"/>
        <v>0.10464801302504356</v>
      </c>
      <c r="I20" s="455">
        <f t="shared" ca="1" si="4"/>
        <v>0.10493868259588927</v>
      </c>
      <c r="J20" s="455">
        <f t="shared" ca="1" si="4"/>
        <v>0.105217015957138</v>
      </c>
      <c r="K20" s="455">
        <f t="shared" ca="1" si="4"/>
        <v>0.10548347150781164</v>
      </c>
      <c r="L20" s="455">
        <f t="shared" ca="1" si="4"/>
        <v>0.10573849642928253</v>
      </c>
    </row>
    <row r="21" spans="1:13" ht="5.0999999999999996" customHeight="1">
      <c r="A21" s="471"/>
      <c r="B21" s="175"/>
      <c r="C21" s="176"/>
      <c r="D21" s="177"/>
      <c r="E21" s="177"/>
      <c r="F21" s="178"/>
      <c r="G21" s="178"/>
      <c r="H21" s="178"/>
      <c r="I21" s="178"/>
      <c r="J21" s="178"/>
      <c r="K21" s="178"/>
      <c r="L21" s="178"/>
    </row>
    <row r="22" spans="1:13">
      <c r="A22" s="471"/>
      <c r="B22" s="16" t="s">
        <v>34</v>
      </c>
      <c r="C22" s="16"/>
      <c r="D22" s="467"/>
      <c r="E22" s="467"/>
      <c r="F22" s="467">
        <f>'Post-Transaction Fncl Sts'!F87</f>
        <v>12000</v>
      </c>
      <c r="G22" s="467">
        <f t="shared" ref="G22:L22" ca="1" si="5">G11+G13-G17</f>
        <v>12561.75</v>
      </c>
      <c r="H22" s="467">
        <f t="shared" ca="1" si="5"/>
        <v>13151.5875</v>
      </c>
      <c r="I22" s="467">
        <f t="shared" ca="1" si="5"/>
        <v>13770.916874999999</v>
      </c>
      <c r="J22" s="467">
        <f t="shared" ca="1" si="5"/>
        <v>14421.212718749999</v>
      </c>
      <c r="K22" s="467">
        <f t="shared" ca="1" si="5"/>
        <v>15104.023354687499</v>
      </c>
      <c r="L22" s="467">
        <f t="shared" ca="1" si="5"/>
        <v>15820.974522421875</v>
      </c>
    </row>
    <row r="23" spans="1:13">
      <c r="B23" s="121" t="s">
        <v>54</v>
      </c>
      <c r="C23" s="121"/>
      <c r="D23" s="121"/>
      <c r="E23" s="121"/>
      <c r="F23" s="121"/>
      <c r="G23" s="121"/>
      <c r="H23" s="242"/>
      <c r="I23" s="242"/>
      <c r="J23" s="242"/>
      <c r="K23" s="121"/>
      <c r="L23" s="121"/>
    </row>
    <row r="24" spans="1:13">
      <c r="B24" s="128" t="s">
        <v>22</v>
      </c>
      <c r="F24" s="174">
        <f>'Post-Transaction Fncl Sts'!F93</f>
        <v>62766</v>
      </c>
      <c r="G24" s="174">
        <f t="shared" ref="G24:L24" si="6">F26</f>
        <v>62766</v>
      </c>
      <c r="H24" s="174">
        <f t="shared" si="6"/>
        <v>62766</v>
      </c>
      <c r="I24" s="174">
        <f t="shared" si="6"/>
        <v>62766</v>
      </c>
      <c r="J24" s="174">
        <f t="shared" si="6"/>
        <v>62766</v>
      </c>
      <c r="K24" s="174">
        <f t="shared" si="6"/>
        <v>62766</v>
      </c>
      <c r="L24" s="174">
        <f t="shared" si="6"/>
        <v>62766</v>
      </c>
      <c r="M24" s="8"/>
    </row>
    <row r="25" spans="1:13">
      <c r="B25" s="128" t="s">
        <v>95</v>
      </c>
      <c r="C25" s="292" t="s">
        <v>181</v>
      </c>
      <c r="F25" s="179"/>
      <c r="G25" s="179">
        <f t="shared" ref="G25:L25" si="7">IF(ISNUMBER($C$25),$F$24/$C$25,0)*(G9/12)</f>
        <v>0</v>
      </c>
      <c r="H25" s="179">
        <f t="shared" si="7"/>
        <v>0</v>
      </c>
      <c r="I25" s="179">
        <f t="shared" si="7"/>
        <v>0</v>
      </c>
      <c r="J25" s="179">
        <f t="shared" si="7"/>
        <v>0</v>
      </c>
      <c r="K25" s="179">
        <f t="shared" si="7"/>
        <v>0</v>
      </c>
      <c r="L25" s="179">
        <f t="shared" si="7"/>
        <v>0</v>
      </c>
      <c r="M25" s="8"/>
    </row>
    <row r="26" spans="1:13">
      <c r="B26" s="128" t="s">
        <v>23</v>
      </c>
      <c r="F26" s="174">
        <f t="shared" ref="F26:L26" si="8">F24-F25</f>
        <v>62766</v>
      </c>
      <c r="G26" s="174">
        <f t="shared" si="8"/>
        <v>62766</v>
      </c>
      <c r="H26" s="174">
        <f t="shared" si="8"/>
        <v>62766</v>
      </c>
      <c r="I26" s="174">
        <f t="shared" si="8"/>
        <v>62766</v>
      </c>
      <c r="J26" s="174">
        <f t="shared" si="8"/>
        <v>62766</v>
      </c>
      <c r="K26" s="174">
        <f t="shared" si="8"/>
        <v>62766</v>
      </c>
      <c r="L26" s="174">
        <f t="shared" si="8"/>
        <v>62766</v>
      </c>
      <c r="M26" s="8"/>
    </row>
    <row r="27" spans="1:13">
      <c r="B27" s="121" t="s">
        <v>80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8"/>
    </row>
    <row r="28" spans="1:13">
      <c r="B28" s="128" t="s">
        <v>79</v>
      </c>
      <c r="F28" s="179">
        <f>SUM('Sources &amp; Uses'!G13:G15)</f>
        <v>850</v>
      </c>
      <c r="G28" s="179">
        <f t="shared" ref="G28:L28" si="9">F28-G29</f>
        <v>680</v>
      </c>
      <c r="H28" s="179">
        <f t="shared" si="9"/>
        <v>510</v>
      </c>
      <c r="I28" s="179">
        <f t="shared" si="9"/>
        <v>340</v>
      </c>
      <c r="J28" s="179">
        <f t="shared" si="9"/>
        <v>170</v>
      </c>
      <c r="K28" s="179">
        <f t="shared" si="9"/>
        <v>0</v>
      </c>
      <c r="L28" s="179">
        <f t="shared" si="9"/>
        <v>0</v>
      </c>
      <c r="M28" s="8"/>
    </row>
    <row r="29" spans="1:13">
      <c r="B29" s="128" t="s">
        <v>81</v>
      </c>
      <c r="C29" s="292">
        <v>5</v>
      </c>
      <c r="F29" s="174"/>
      <c r="G29" s="174">
        <f>IF($C$29&gt;='PP&amp;E Schedule'!G6,'PP&amp;E Schedule'!$F$28/$C$29,0)*(G9/12)</f>
        <v>170</v>
      </c>
      <c r="H29" s="174">
        <f>IF($C$29&gt;='PP&amp;E Schedule'!H6,'PP&amp;E Schedule'!$F$28/$C$29,0)*(H9/12)</f>
        <v>170</v>
      </c>
      <c r="I29" s="174">
        <f>IF($C$29&gt;='PP&amp;E Schedule'!I6,'PP&amp;E Schedule'!$F$28/$C$29,0)*(I9/12)</f>
        <v>170</v>
      </c>
      <c r="J29" s="174">
        <f>IF($C$29&gt;='PP&amp;E Schedule'!J6,'PP&amp;E Schedule'!$F$28/$C$29,0)*(J9/12)</f>
        <v>170</v>
      </c>
      <c r="K29" s="174">
        <f>IF($C$29&gt;='PP&amp;E Schedule'!K6,'PP&amp;E Schedule'!$F$28/$C$29,0)*(K9/12)</f>
        <v>170</v>
      </c>
      <c r="L29" s="174">
        <f>F28-SUM(G29:K29)</f>
        <v>0</v>
      </c>
      <c r="M29" s="8"/>
    </row>
    <row r="30" spans="1:13" ht="2.1" customHeight="1">
      <c r="M30" s="8"/>
    </row>
  </sheetData>
  <printOptions horizontalCentered="1"/>
  <pageMargins left="0.7" right="0.7" top="0.75" bottom="0.75" header="0.3" footer="0.3"/>
  <pageSetup paperSize="5" scale="76" orientation="landscape" r:id="rId1"/>
  <headerFooter>
    <oddHeader>&amp;F</oddHeader>
    <oddFooter>&amp;L&amp;B Confidential&amp;B&amp;C&amp;D&amp;RPage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49"/>
  <sheetViews>
    <sheetView showGridLines="0" zoomScale="85" zoomScaleNormal="85" workbookViewId="0"/>
  </sheetViews>
  <sheetFormatPr defaultRowHeight="14.25"/>
  <cols>
    <col min="1" max="1" width="1.59765625" customWidth="1"/>
    <col min="2" max="2" width="37.59765625" customWidth="1"/>
    <col min="3" max="3" width="1.59765625" customWidth="1"/>
    <col min="4" max="4" width="8.73046875" bestFit="1" customWidth="1"/>
    <col min="5" max="5" width="6.59765625" customWidth="1"/>
    <col min="6" max="11" width="11.86328125" customWidth="1"/>
    <col min="12" max="12" width="1.59765625" customWidth="1"/>
  </cols>
  <sheetData>
    <row r="1" spans="1:21">
      <c r="A1" s="4"/>
      <c r="B1" s="98" t="str">
        <f>'Sources &amp; Uses'!B1</f>
        <v>COMPANY</v>
      </c>
      <c r="C1" s="98"/>
      <c r="D1" s="98"/>
      <c r="E1" s="98"/>
      <c r="F1" s="306"/>
      <c r="G1" s="306"/>
      <c r="H1" s="306"/>
      <c r="I1" s="306"/>
      <c r="J1" s="306"/>
      <c r="K1" s="306"/>
      <c r="M1" s="306"/>
    </row>
    <row r="2" spans="1:21">
      <c r="A2" s="4"/>
      <c r="B2" s="16" t="s">
        <v>158</v>
      </c>
      <c r="C2" s="16"/>
      <c r="D2" s="16"/>
      <c r="E2" s="16"/>
    </row>
    <row r="3" spans="1:21">
      <c r="B3" s="279" t="s">
        <v>171</v>
      </c>
      <c r="C3" s="280"/>
      <c r="D3" s="280"/>
      <c r="E3" s="280"/>
      <c r="F3" s="281">
        <f>'Post-Transaction Fncl Sts'!G7</f>
        <v>2018</v>
      </c>
      <c r="G3" s="281">
        <f>'Post-Transaction Fncl Sts'!H7</f>
        <v>2019</v>
      </c>
      <c r="H3" s="281">
        <f>'Post-Transaction Fncl Sts'!I7</f>
        <v>2020</v>
      </c>
      <c r="I3" s="281">
        <f>'Post-Transaction Fncl Sts'!J7</f>
        <v>2021</v>
      </c>
      <c r="J3" s="281">
        <f>'Post-Transaction Fncl Sts'!K7</f>
        <v>2022</v>
      </c>
      <c r="K3" s="281">
        <f>'Post-Transaction Fncl Sts'!L7</f>
        <v>2023</v>
      </c>
    </row>
    <row r="4" spans="1:21" ht="15" customHeight="1">
      <c r="B4" s="282"/>
      <c r="C4" s="282"/>
      <c r="D4" s="282"/>
      <c r="E4" s="282"/>
      <c r="F4" s="145">
        <f>'Post-Transaction Fncl Sts'!G9</f>
        <v>12</v>
      </c>
      <c r="G4" s="145">
        <f>'Post-Transaction Fncl Sts'!H9</f>
        <v>12</v>
      </c>
      <c r="H4" s="145">
        <f>'Post-Transaction Fncl Sts'!I9</f>
        <v>12</v>
      </c>
      <c r="I4" s="145">
        <f>'Post-Transaction Fncl Sts'!J9</f>
        <v>12</v>
      </c>
      <c r="J4" s="145">
        <f>'Post-Transaction Fncl Sts'!K9</f>
        <v>12</v>
      </c>
      <c r="K4" s="145">
        <f>'Post-Transaction Fncl Sts'!L9</f>
        <v>12</v>
      </c>
    </row>
    <row r="5" spans="1:21" ht="5.0999999999999996" customHeight="1">
      <c r="B5" s="307"/>
      <c r="C5" s="307"/>
      <c r="D5" s="307"/>
      <c r="E5" s="307"/>
      <c r="F5" s="308"/>
      <c r="G5" s="308"/>
      <c r="H5" s="308"/>
      <c r="I5" s="308"/>
      <c r="J5" s="308"/>
      <c r="K5" s="308"/>
    </row>
    <row r="6" spans="1:21" s="309" customFormat="1" ht="16.5" customHeight="1">
      <c r="B6" s="328" t="s">
        <v>8</v>
      </c>
      <c r="C6" s="329"/>
      <c r="D6" s="329"/>
      <c r="E6" s="329"/>
      <c r="F6" s="330"/>
      <c r="G6" s="330"/>
      <c r="H6" s="330"/>
      <c r="I6" s="330"/>
      <c r="J6" s="330"/>
      <c r="K6" s="330"/>
    </row>
    <row r="7" spans="1:21" s="309" customFormat="1" ht="16.5" customHeight="1">
      <c r="B7" s="331" t="s">
        <v>159</v>
      </c>
      <c r="C7" s="328"/>
      <c r="D7" s="328"/>
      <c r="E7" s="328"/>
      <c r="F7" s="330">
        <f>'Post-Transaction Fncl Sts'!G197</f>
        <v>0</v>
      </c>
      <c r="G7" s="330">
        <f ca="1">'Post-Transaction Fncl Sts'!H197</f>
        <v>1105.1908000000012</v>
      </c>
      <c r="H7" s="330">
        <f ca="1">'Post-Transaction Fncl Sts'!I197</f>
        <v>2662.3442650000043</v>
      </c>
      <c r="I7" s="330">
        <f ca="1">'Post-Transaction Fncl Sts'!J197</f>
        <v>3944.5522782500057</v>
      </c>
      <c r="J7" s="330">
        <f ca="1">'Post-Transaction Fncl Sts'!K197</f>
        <v>5731.0519421625004</v>
      </c>
      <c r="K7" s="330">
        <f ca="1">'Post-Transaction Fncl Sts'!L197</f>
        <v>8039.7453392706229</v>
      </c>
      <c r="R7" s="310"/>
      <c r="U7" s="310"/>
    </row>
    <row r="8" spans="1:21" s="309" customFormat="1" ht="16.5" customHeight="1">
      <c r="B8" s="331" t="s">
        <v>165</v>
      </c>
      <c r="C8" s="329"/>
      <c r="D8" s="329"/>
      <c r="E8" s="329"/>
      <c r="F8" s="330">
        <f ca="1">'Post-Transaction Fncl Sts'!G198</f>
        <v>1105.1908000000012</v>
      </c>
      <c r="G8" s="330">
        <f ca="1">'Post-Transaction Fncl Sts'!H198</f>
        <v>2662.3442650000043</v>
      </c>
      <c r="H8" s="330">
        <f ca="1">'Post-Transaction Fncl Sts'!I198</f>
        <v>3944.5522782500057</v>
      </c>
      <c r="I8" s="330">
        <f ca="1">'Post-Transaction Fncl Sts'!J198</f>
        <v>5731.0519421625004</v>
      </c>
      <c r="J8" s="330">
        <f ca="1">'Post-Transaction Fncl Sts'!K198</f>
        <v>8039.7453392706229</v>
      </c>
      <c r="K8" s="330">
        <f ca="1">'Post-Transaction Fncl Sts'!L198</f>
        <v>15256.80465623415</v>
      </c>
      <c r="Q8" s="310"/>
      <c r="R8" s="310"/>
      <c r="T8" s="310"/>
      <c r="U8" s="310"/>
    </row>
    <row r="9" spans="1:21" s="309" customFormat="1" ht="5.0999999999999996" customHeight="1">
      <c r="B9" s="315"/>
      <c r="C9" s="315"/>
      <c r="D9" s="315"/>
      <c r="E9" s="315"/>
      <c r="F9" s="312"/>
      <c r="G9" s="312"/>
      <c r="H9" s="312"/>
      <c r="I9" s="312"/>
      <c r="J9" s="312"/>
      <c r="K9" s="312"/>
      <c r="Q9" s="310"/>
      <c r="R9" s="310"/>
      <c r="T9" s="310"/>
      <c r="U9" s="310"/>
    </row>
    <row r="10" spans="1:21" s="309" customFormat="1" ht="16.5" customHeight="1">
      <c r="B10" s="328" t="s">
        <v>166</v>
      </c>
      <c r="C10" s="328"/>
      <c r="D10" s="328"/>
      <c r="E10" s="328"/>
      <c r="F10" s="336"/>
      <c r="G10" s="336"/>
      <c r="H10" s="336"/>
      <c r="I10" s="336"/>
      <c r="J10" s="336"/>
      <c r="K10" s="336"/>
    </row>
    <row r="11" spans="1:21" s="309" customFormat="1" ht="16.5" customHeight="1">
      <c r="B11" s="360" t="s">
        <v>186</v>
      </c>
      <c r="C11" s="329"/>
      <c r="D11" s="329"/>
      <c r="E11" s="329"/>
      <c r="F11" s="330">
        <f>'Post-Transaction Fncl Sts'!G48</f>
        <v>12622.722000000002</v>
      </c>
      <c r="G11" s="330">
        <f>'Post-Transaction Fncl Sts'!H48</f>
        <v>13253.858100000005</v>
      </c>
      <c r="H11" s="330">
        <f>'Post-Transaction Fncl Sts'!I48</f>
        <v>13916.551005000003</v>
      </c>
      <c r="I11" s="330">
        <f>'Post-Transaction Fncl Sts'!J48</f>
        <v>14612.378555249992</v>
      </c>
      <c r="J11" s="330">
        <f>'Post-Transaction Fncl Sts'!K48</f>
        <v>15342.997483012496</v>
      </c>
      <c r="K11" s="330">
        <f>'Post-Transaction Fncl Sts'!L48</f>
        <v>16110.147357163121</v>
      </c>
    </row>
    <row r="12" spans="1:21" s="309" customFormat="1" ht="16.5" customHeight="1">
      <c r="B12" s="331" t="s">
        <v>98</v>
      </c>
      <c r="C12" s="329"/>
      <c r="D12" s="329"/>
      <c r="E12" s="329"/>
      <c r="F12" s="332">
        <f>-'Post-Transaction Fncl Sts'!G180</f>
        <v>1872.5000000000002</v>
      </c>
      <c r="G12" s="332">
        <f>-'Post-Transaction Fncl Sts'!H180</f>
        <v>1966.1250000000005</v>
      </c>
      <c r="H12" s="332">
        <f>-'Post-Transaction Fncl Sts'!I180</f>
        <v>2064.4312500000005</v>
      </c>
      <c r="I12" s="332">
        <f>-'Post-Transaction Fncl Sts'!J180</f>
        <v>2167.6528125000004</v>
      </c>
      <c r="J12" s="332">
        <f>-'Post-Transaction Fncl Sts'!K180</f>
        <v>2276.0354531250005</v>
      </c>
      <c r="K12" s="332">
        <f>-'Post-Transaction Fncl Sts'!L180</f>
        <v>2389.8372257812503</v>
      </c>
    </row>
    <row r="13" spans="1:21" s="309" customFormat="1" ht="16.5" customHeight="1">
      <c r="B13" s="331" t="s">
        <v>162</v>
      </c>
      <c r="C13" s="329"/>
      <c r="D13" s="329"/>
      <c r="E13" s="329"/>
      <c r="F13" s="332">
        <f ca="1">'Post-Transaction Fncl Sts'!G39+'Post-Transaction Fncl Sts'!G41</f>
        <v>3203.9812000000006</v>
      </c>
      <c r="G13" s="332">
        <f ca="1">'Post-Transaction Fncl Sts'!H39+'Post-Transaction Fncl Sts'!H41</f>
        <v>3478.3896350000014</v>
      </c>
      <c r="H13" s="332">
        <f ca="1">'Post-Transaction Fncl Sts'!I39+'Post-Transaction Fncl Sts'!I41</f>
        <v>3769.799741750001</v>
      </c>
      <c r="I13" s="332">
        <f ca="1">'Post-Transaction Fncl Sts'!J39+'Post-Transaction Fncl Sts'!J41</f>
        <v>4078.7334788374969</v>
      </c>
      <c r="J13" s="332">
        <f ca="1">'Post-Transaction Fncl Sts'!K39+'Post-Transaction Fncl Sts'!K41</f>
        <v>4399.1764027793733</v>
      </c>
      <c r="K13" s="332">
        <f ca="1">'Post-Transaction Fncl Sts'!L39+'Post-Transaction Fncl Sts'!L41</f>
        <v>4751.8289729183425</v>
      </c>
    </row>
    <row r="14" spans="1:21" s="309" customFormat="1" ht="3" customHeight="1">
      <c r="B14" s="331"/>
      <c r="C14" s="329"/>
      <c r="D14" s="329"/>
      <c r="E14" s="329"/>
      <c r="F14" s="332"/>
      <c r="G14" s="332"/>
      <c r="H14" s="332"/>
      <c r="I14" s="332"/>
      <c r="J14" s="332"/>
      <c r="K14" s="332"/>
    </row>
    <row r="15" spans="1:21" s="309" customFormat="1" ht="16.5" customHeight="1">
      <c r="B15" s="331" t="s">
        <v>161</v>
      </c>
      <c r="C15" s="329"/>
      <c r="D15" s="329"/>
      <c r="E15" s="329"/>
      <c r="F15" s="332">
        <f ca="1">'Debt Schedule'!E63</f>
        <v>2606.25</v>
      </c>
      <c r="G15" s="332">
        <f ca="1">'Debt Schedule'!F63</f>
        <v>2418.75</v>
      </c>
      <c r="H15" s="332">
        <f ca="1">'Debt Schedule'!G63</f>
        <v>2212.5</v>
      </c>
      <c r="I15" s="332">
        <f ca="1">'Debt Schedule'!H63</f>
        <v>1987.5</v>
      </c>
      <c r="J15" s="332">
        <f ca="1">'Debt Schedule'!I63</f>
        <v>1762.5</v>
      </c>
      <c r="K15" s="332">
        <f ca="1">'Debt Schedule'!J63</f>
        <v>1650</v>
      </c>
    </row>
    <row r="16" spans="1:21" s="309" customFormat="1" ht="16.5" customHeight="1">
      <c r="B16" s="375" t="s">
        <v>214</v>
      </c>
      <c r="C16" s="329"/>
      <c r="D16" s="329"/>
      <c r="E16" s="329"/>
      <c r="F16" s="332">
        <f>-'Post-Transaction Fncl Sts'!G186-'Post-Transaction Fncl Sts'!G188</f>
        <v>3750</v>
      </c>
      <c r="G16" s="332">
        <f>-'Post-Transaction Fncl Sts'!H186-'Post-Transaction Fncl Sts'!H188</f>
        <v>3750</v>
      </c>
      <c r="H16" s="332">
        <f>-'Post-Transaction Fncl Sts'!I186-'Post-Transaction Fncl Sts'!I188</f>
        <v>4500</v>
      </c>
      <c r="I16" s="332">
        <f>-'Post-Transaction Fncl Sts'!J186-'Post-Transaction Fncl Sts'!J188</f>
        <v>4500</v>
      </c>
      <c r="J16" s="332">
        <f>-'Post-Transaction Fncl Sts'!K186-'Post-Transaction Fncl Sts'!K188</f>
        <v>4500</v>
      </c>
      <c r="K16" s="332">
        <f>-'Post-Transaction Fncl Sts'!L186-'Post-Transaction Fncl Sts'!L188</f>
        <v>0</v>
      </c>
    </row>
    <row r="17" spans="2:11" s="309" customFormat="1" ht="16.5" customHeight="1">
      <c r="B17" s="337" t="s">
        <v>160</v>
      </c>
      <c r="C17" s="337"/>
      <c r="D17" s="337"/>
      <c r="E17" s="337"/>
      <c r="F17" s="338">
        <f t="shared" ref="F17:K17" ca="1" si="0">(F11-F12-F13)/(F15+F16)</f>
        <v>1.1872158584070798</v>
      </c>
      <c r="G17" s="338">
        <f t="shared" ca="1" si="0"/>
        <v>1.2659523347517736</v>
      </c>
      <c r="H17" s="338">
        <f t="shared" ca="1" si="0"/>
        <v>1.2040700205959036</v>
      </c>
      <c r="I17" s="338">
        <f t="shared" ca="1" si="0"/>
        <v>1.2895556476165695</v>
      </c>
      <c r="J17" s="338">
        <f t="shared" ca="1" si="0"/>
        <v>1.3840775452468059</v>
      </c>
      <c r="K17" s="338">
        <f t="shared" ca="1" si="0"/>
        <v>5.4354431263415321</v>
      </c>
    </row>
    <row r="18" spans="2:11" s="309" customFormat="1" ht="5.0999999999999996" customHeight="1">
      <c r="B18" s="314"/>
      <c r="C18" s="315"/>
      <c r="D18" s="315"/>
      <c r="E18" s="315"/>
      <c r="F18" s="316"/>
      <c r="G18" s="316"/>
      <c r="H18" s="316"/>
      <c r="I18" s="316"/>
      <c r="J18" s="316"/>
      <c r="K18" s="316"/>
    </row>
    <row r="19" spans="2:11" ht="16.5" customHeight="1">
      <c r="B19" s="339" t="s">
        <v>163</v>
      </c>
      <c r="C19" s="340"/>
      <c r="D19" s="340"/>
      <c r="E19" s="340"/>
      <c r="F19" s="341">
        <f>'Post-Transaction Fncl Sts'!G122/F11</f>
        <v>2.0795831517164043</v>
      </c>
      <c r="G19" s="341">
        <f>'Post-Transaction Fncl Sts'!H122/G11</f>
        <v>1.6976188993603298</v>
      </c>
      <c r="H19" s="341">
        <f>'Post-Transaction Fncl Sts'!I122/H11</f>
        <v>1.2934239233221563</v>
      </c>
      <c r="I19" s="341">
        <f>'Post-Transaction Fncl Sts'!J122/I11</f>
        <v>0.92387423094439802</v>
      </c>
      <c r="J19" s="341">
        <f>'Post-Transaction Fncl Sts'!K122/J11</f>
        <v>0.58658681329803031</v>
      </c>
      <c r="K19" s="341">
        <f>'Post-Transaction Fncl Sts'!L122/K11</f>
        <v>0.55865410790288594</v>
      </c>
    </row>
    <row r="20" spans="2:11" ht="16.5" customHeight="1">
      <c r="B20" s="339" t="s">
        <v>164</v>
      </c>
      <c r="C20" s="340"/>
      <c r="D20" s="340"/>
      <c r="E20" s="340"/>
      <c r="F20" s="341">
        <f ca="1">SUM('Post-Transaction Fncl Sts'!G120:G122)/F11</f>
        <v>2.8718053047512253</v>
      </c>
      <c r="G20" s="341">
        <f ca="1">SUM('Post-Transaction Fncl Sts'!H120:H122)/G11</f>
        <v>2.4521161879649207</v>
      </c>
      <c r="H20" s="341">
        <f ca="1">SUM('Post-Transaction Fncl Sts'!I120:I122)/H11</f>
        <v>2.011992769612243</v>
      </c>
      <c r="I20" s="341">
        <f ca="1">SUM('Post-Transaction Fncl Sts'!J120:J122)/I11</f>
        <v>1.6082255131254335</v>
      </c>
      <c r="J20" s="341">
        <f ca="1">SUM('Post-Transaction Fncl Sts'!K120:K122)/J11</f>
        <v>1.2383499391847308</v>
      </c>
      <c r="K20" s="341">
        <f ca="1">SUM('Post-Transaction Fncl Sts'!L120:L122)/K11</f>
        <v>1.1793808944616482</v>
      </c>
    </row>
    <row r="21" spans="2:11" ht="5.0999999999999996" customHeight="1">
      <c r="B21" s="317"/>
      <c r="C21" s="313"/>
      <c r="D21" s="313"/>
      <c r="E21" s="313"/>
      <c r="F21" s="313"/>
      <c r="G21" s="313"/>
      <c r="H21" s="313"/>
      <c r="I21" s="313"/>
      <c r="J21" s="313"/>
      <c r="K21" s="313"/>
    </row>
    <row r="22" spans="2:11" ht="15" customHeight="1">
      <c r="B22" s="339" t="s">
        <v>172</v>
      </c>
      <c r="C22" s="340"/>
      <c r="D22" s="340"/>
      <c r="E22" s="340"/>
      <c r="F22" s="340"/>
      <c r="G22" s="340"/>
      <c r="H22" s="340"/>
      <c r="I22" s="340"/>
      <c r="J22" s="340"/>
      <c r="K22" s="340"/>
    </row>
    <row r="23" spans="2:11" ht="15" customHeight="1">
      <c r="B23" s="342" t="s">
        <v>102</v>
      </c>
      <c r="C23" s="340"/>
      <c r="D23" s="340"/>
      <c r="E23" s="340"/>
      <c r="F23" s="330">
        <f>'Post-Transaction Fncl Sts'!G121</f>
        <v>10000</v>
      </c>
      <c r="G23" s="330">
        <f>'Post-Transaction Fncl Sts'!H121</f>
        <v>10000</v>
      </c>
      <c r="H23" s="330">
        <f>'Post-Transaction Fncl Sts'!I121</f>
        <v>10000</v>
      </c>
      <c r="I23" s="330">
        <f>'Post-Transaction Fncl Sts'!J121</f>
        <v>10000</v>
      </c>
      <c r="J23" s="330">
        <f>'Post-Transaction Fncl Sts'!K121</f>
        <v>10000</v>
      </c>
      <c r="K23" s="330">
        <f>'Post-Transaction Fncl Sts'!L121</f>
        <v>10000</v>
      </c>
    </row>
    <row r="24" spans="2:11" ht="15" customHeight="1">
      <c r="B24" s="342" t="s">
        <v>105</v>
      </c>
      <c r="C24" s="340"/>
      <c r="D24" s="340"/>
      <c r="E24" s="340"/>
      <c r="F24" s="332">
        <f>'Post-Transaction Fncl Sts'!G122</f>
        <v>26250</v>
      </c>
      <c r="G24" s="332">
        <f>'Post-Transaction Fncl Sts'!H122</f>
        <v>22500</v>
      </c>
      <c r="H24" s="332">
        <f>'Post-Transaction Fncl Sts'!I122</f>
        <v>18000</v>
      </c>
      <c r="I24" s="332">
        <f>'Post-Transaction Fncl Sts'!J122</f>
        <v>13500</v>
      </c>
      <c r="J24" s="332">
        <f>'Post-Transaction Fncl Sts'!K122</f>
        <v>9000</v>
      </c>
      <c r="K24" s="332">
        <f>'Post-Transaction Fncl Sts'!L122</f>
        <v>9000</v>
      </c>
    </row>
    <row r="25" spans="2:11" ht="3" customHeight="1">
      <c r="B25" s="342"/>
      <c r="C25" s="340"/>
      <c r="D25" s="340"/>
      <c r="E25" s="340"/>
      <c r="F25" s="332"/>
      <c r="G25" s="332"/>
      <c r="H25" s="332"/>
      <c r="I25" s="332"/>
      <c r="J25" s="332"/>
      <c r="K25" s="332"/>
    </row>
    <row r="26" spans="2:11" ht="15" customHeight="1">
      <c r="B26" s="342" t="s">
        <v>173</v>
      </c>
      <c r="C26" s="340"/>
      <c r="D26" s="340"/>
      <c r="E26" s="340"/>
      <c r="F26" s="332">
        <f ca="1">'Post-Transaction Fncl Sts'!G77</f>
        <v>1105.1908000000012</v>
      </c>
      <c r="G26" s="332">
        <f ca="1">'Post-Transaction Fncl Sts'!H77</f>
        <v>2662.3442650000043</v>
      </c>
      <c r="H26" s="332">
        <f ca="1">'Post-Transaction Fncl Sts'!I77</f>
        <v>3944.5522782500057</v>
      </c>
      <c r="I26" s="332">
        <f ca="1">'Post-Transaction Fncl Sts'!J77</f>
        <v>5731.0519421625004</v>
      </c>
      <c r="J26" s="332">
        <f ca="1">'Post-Transaction Fncl Sts'!K77</f>
        <v>8039.7453392706229</v>
      </c>
      <c r="K26" s="332">
        <f ca="1">'Post-Transaction Fncl Sts'!L77</f>
        <v>15256.80465623415</v>
      </c>
    </row>
    <row r="27" spans="2:11" ht="3" customHeight="1">
      <c r="B27" s="342"/>
      <c r="C27" s="340"/>
      <c r="D27" s="340"/>
      <c r="E27" s="340"/>
      <c r="F27" s="332"/>
      <c r="G27" s="332"/>
      <c r="H27" s="332"/>
      <c r="I27" s="332"/>
      <c r="J27" s="332"/>
      <c r="K27" s="332"/>
    </row>
    <row r="28" spans="2:11" ht="15" customHeight="1">
      <c r="B28" s="337" t="s">
        <v>172</v>
      </c>
      <c r="C28" s="334"/>
      <c r="D28" s="334"/>
      <c r="E28" s="334"/>
      <c r="F28" s="343">
        <f t="shared" ref="F28:K28" ca="1" si="1">F23+F24-F26</f>
        <v>35144.809199999996</v>
      </c>
      <c r="G28" s="343">
        <f t="shared" ca="1" si="1"/>
        <v>29837.655734999997</v>
      </c>
      <c r="H28" s="343">
        <f t="shared" ca="1" si="1"/>
        <v>24055.447721749995</v>
      </c>
      <c r="I28" s="343">
        <f t="shared" ca="1" si="1"/>
        <v>17768.948057837501</v>
      </c>
      <c r="J28" s="343">
        <f t="shared" ca="1" si="1"/>
        <v>10960.254660729377</v>
      </c>
      <c r="K28" s="343">
        <f t="shared" ca="1" si="1"/>
        <v>3743.1953437658503</v>
      </c>
    </row>
    <row r="29" spans="2:11" ht="5.0999999999999996" customHeight="1">
      <c r="B29" s="313"/>
      <c r="C29" s="313"/>
      <c r="D29" s="313"/>
      <c r="E29" s="313"/>
      <c r="F29" s="313"/>
      <c r="G29" s="313"/>
      <c r="H29" s="313"/>
      <c r="I29" s="313"/>
      <c r="J29" s="313"/>
      <c r="K29" s="313"/>
    </row>
    <row r="30" spans="2:11">
      <c r="B30" s="279" t="s">
        <v>182</v>
      </c>
      <c r="C30" s="280"/>
      <c r="D30" s="280"/>
      <c r="E30" s="280"/>
      <c r="F30" s="281"/>
      <c r="G30" s="281"/>
      <c r="H30" s="281"/>
      <c r="I30" s="281"/>
      <c r="J30" s="281"/>
      <c r="K30" s="281"/>
    </row>
    <row r="31" spans="2:11" ht="5.0999999999999996" customHeight="1"/>
    <row r="32" spans="2:11">
      <c r="B32" s="360" t="s">
        <v>186</v>
      </c>
      <c r="C32" s="329"/>
      <c r="D32" s="329"/>
      <c r="E32" s="329"/>
      <c r="F32" s="330">
        <f>'Post-Transaction Fncl Sts'!G48</f>
        <v>12622.722000000002</v>
      </c>
      <c r="G32" s="330">
        <f>'Post-Transaction Fncl Sts'!H48</f>
        <v>13253.858100000005</v>
      </c>
      <c r="H32" s="330">
        <f>'Post-Transaction Fncl Sts'!I48</f>
        <v>13916.551005000003</v>
      </c>
      <c r="I32" s="330">
        <f>'Post-Transaction Fncl Sts'!J48</f>
        <v>14612.378555249992</v>
      </c>
      <c r="J32" s="330">
        <f>'Post-Transaction Fncl Sts'!K48</f>
        <v>15342.997483012496</v>
      </c>
      <c r="K32" s="330">
        <f>'Post-Transaction Fncl Sts'!L48</f>
        <v>16110.147357163121</v>
      </c>
    </row>
    <row r="33" spans="2:11">
      <c r="B33" s="331" t="s">
        <v>162</v>
      </c>
      <c r="C33" s="329"/>
      <c r="D33" s="329"/>
      <c r="E33" s="329"/>
      <c r="F33" s="332">
        <f ca="1">'Post-Transaction Fncl Sts'!G39+'Post-Transaction Fncl Sts'!G41</f>
        <v>3203.9812000000006</v>
      </c>
      <c r="G33" s="332">
        <f ca="1">'Post-Transaction Fncl Sts'!H39+'Post-Transaction Fncl Sts'!H41</f>
        <v>3478.3896350000014</v>
      </c>
      <c r="H33" s="332">
        <f ca="1">'Post-Transaction Fncl Sts'!I39+'Post-Transaction Fncl Sts'!I41</f>
        <v>3769.799741750001</v>
      </c>
      <c r="I33" s="332">
        <f ca="1">'Post-Transaction Fncl Sts'!J39+'Post-Transaction Fncl Sts'!J41</f>
        <v>4078.7334788374969</v>
      </c>
      <c r="J33" s="332">
        <f ca="1">'Post-Transaction Fncl Sts'!K39+'Post-Transaction Fncl Sts'!K41</f>
        <v>4399.1764027793733</v>
      </c>
      <c r="K33" s="332">
        <f ca="1">'Post-Transaction Fncl Sts'!L39+'Post-Transaction Fncl Sts'!L41</f>
        <v>4751.8289729183425</v>
      </c>
    </row>
    <row r="34" spans="2:11">
      <c r="B34" s="344" t="s">
        <v>98</v>
      </c>
      <c r="C34" s="329"/>
      <c r="D34" s="329"/>
      <c r="E34" s="329"/>
      <c r="F34" s="332">
        <f>-'Post-Transaction Fncl Sts'!G180</f>
        <v>1872.5000000000002</v>
      </c>
      <c r="G34" s="332">
        <f>-'Post-Transaction Fncl Sts'!H180</f>
        <v>1966.1250000000005</v>
      </c>
      <c r="H34" s="332">
        <f>-'Post-Transaction Fncl Sts'!I180</f>
        <v>2064.4312500000005</v>
      </c>
      <c r="I34" s="332">
        <f>-'Post-Transaction Fncl Sts'!J180</f>
        <v>2167.6528125000004</v>
      </c>
      <c r="J34" s="332">
        <f>-'Post-Transaction Fncl Sts'!K180</f>
        <v>2276.0354531250005</v>
      </c>
      <c r="K34" s="332">
        <f>-'Post-Transaction Fncl Sts'!L180</f>
        <v>2389.8372257812503</v>
      </c>
    </row>
    <row r="35" spans="2:11" ht="5.0999999999999996" customHeight="1">
      <c r="B35" s="344"/>
      <c r="C35" s="329"/>
      <c r="D35" s="329"/>
      <c r="E35" s="329"/>
      <c r="F35" s="332"/>
      <c r="G35" s="332"/>
      <c r="H35" s="332"/>
      <c r="I35" s="332"/>
      <c r="J35" s="332"/>
      <c r="K35" s="332"/>
    </row>
    <row r="36" spans="2:11">
      <c r="B36" s="331" t="s">
        <v>161</v>
      </c>
      <c r="C36" s="329"/>
      <c r="D36" s="329"/>
      <c r="E36" s="329"/>
      <c r="F36" s="332">
        <f ca="1">'Debt Schedule'!E63</f>
        <v>2606.25</v>
      </c>
      <c r="G36" s="332">
        <f ca="1">'Debt Schedule'!F63</f>
        <v>2418.75</v>
      </c>
      <c r="H36" s="332">
        <f ca="1">'Debt Schedule'!G63</f>
        <v>2212.5</v>
      </c>
      <c r="I36" s="332">
        <f ca="1">'Debt Schedule'!H63</f>
        <v>1987.5</v>
      </c>
      <c r="J36" s="332">
        <f ca="1">'Debt Schedule'!I63</f>
        <v>1762.5</v>
      </c>
      <c r="K36" s="332">
        <f ca="1">'Debt Schedule'!J63</f>
        <v>1650</v>
      </c>
    </row>
    <row r="37" spans="2:11">
      <c r="B37" s="375" t="s">
        <v>214</v>
      </c>
      <c r="C37" s="329"/>
      <c r="D37" s="329"/>
      <c r="E37" s="329"/>
      <c r="F37" s="332">
        <f>-'Post-Transaction Fncl Sts'!G186-'Post-Transaction Fncl Sts'!G188</f>
        <v>3750</v>
      </c>
      <c r="G37" s="332">
        <f>-'Post-Transaction Fncl Sts'!H186-'Post-Transaction Fncl Sts'!H188</f>
        <v>3750</v>
      </c>
      <c r="H37" s="332">
        <f>-'Post-Transaction Fncl Sts'!I186-'Post-Transaction Fncl Sts'!I188</f>
        <v>4500</v>
      </c>
      <c r="I37" s="332">
        <f>-'Post-Transaction Fncl Sts'!J186-'Post-Transaction Fncl Sts'!J188</f>
        <v>4500</v>
      </c>
      <c r="J37" s="332">
        <f>-'Post-Transaction Fncl Sts'!K186-'Post-Transaction Fncl Sts'!K188</f>
        <v>4500</v>
      </c>
      <c r="K37" s="332">
        <f>-'Post-Transaction Fncl Sts'!L186-'Post-Transaction Fncl Sts'!L188</f>
        <v>0</v>
      </c>
    </row>
    <row r="38" spans="2:11" ht="5.0999999999999996" customHeight="1">
      <c r="B38" s="331"/>
      <c r="C38" s="329"/>
      <c r="D38" s="329"/>
      <c r="E38" s="329"/>
      <c r="F38" s="332"/>
      <c r="G38" s="332"/>
      <c r="H38" s="332"/>
      <c r="I38" s="332"/>
      <c r="J38" s="332"/>
      <c r="K38" s="332"/>
    </row>
    <row r="39" spans="2:11" ht="5.0999999999999996" customHeight="1">
      <c r="B39" s="333"/>
      <c r="C39" s="334"/>
      <c r="D39" s="334"/>
      <c r="E39" s="334"/>
      <c r="F39" s="335"/>
      <c r="G39" s="335"/>
      <c r="H39" s="335"/>
      <c r="I39" s="335"/>
      <c r="J39" s="335"/>
      <c r="K39" s="335"/>
    </row>
    <row r="40" spans="2:11">
      <c r="B40" s="328" t="s">
        <v>174</v>
      </c>
      <c r="C40" s="328"/>
      <c r="D40" s="345" t="s">
        <v>176</v>
      </c>
      <c r="E40" s="475">
        <v>1.25</v>
      </c>
      <c r="F40" s="346">
        <f t="shared" ref="F40:K40" ca="1" si="2">(F32-F33-F34)/SUM(F36:F37)</f>
        <v>1.1872158584070798</v>
      </c>
      <c r="G40" s="346">
        <f t="shared" ca="1" si="2"/>
        <v>1.2659523347517736</v>
      </c>
      <c r="H40" s="346">
        <f t="shared" ca="1" si="2"/>
        <v>1.2040700205959034</v>
      </c>
      <c r="I40" s="346">
        <f t="shared" ca="1" si="2"/>
        <v>1.2895556476165695</v>
      </c>
      <c r="J40" s="346">
        <f t="shared" ca="1" si="2"/>
        <v>1.3840775452468059</v>
      </c>
      <c r="K40" s="346">
        <f t="shared" ca="1" si="2"/>
        <v>5.435443126341533</v>
      </c>
    </row>
    <row r="41" spans="2:11" ht="5.0999999999999996" customHeight="1">
      <c r="D41" s="327"/>
      <c r="E41" s="476"/>
    </row>
    <row r="42" spans="2:11">
      <c r="B42" s="339" t="s">
        <v>163</v>
      </c>
      <c r="C42" s="340"/>
      <c r="D42" s="345" t="s">
        <v>177</v>
      </c>
      <c r="E42" s="475">
        <v>2.75</v>
      </c>
      <c r="F42" s="346">
        <f>'Post-Transaction Fncl Sts'!G122/F11</f>
        <v>2.0795831517164043</v>
      </c>
      <c r="G42" s="346">
        <f>'Post-Transaction Fncl Sts'!H122/G11</f>
        <v>1.6976188993603298</v>
      </c>
      <c r="H42" s="346">
        <f>'Post-Transaction Fncl Sts'!I122/H11</f>
        <v>1.2934239233221563</v>
      </c>
      <c r="I42" s="346">
        <f>'Post-Transaction Fncl Sts'!J122/I11</f>
        <v>0.92387423094439802</v>
      </c>
      <c r="J42" s="346">
        <f>'Post-Transaction Fncl Sts'!K122/J11</f>
        <v>0.58658681329803031</v>
      </c>
      <c r="K42" s="346">
        <f>'Post-Transaction Fncl Sts'!L122/K11</f>
        <v>0.55865410790288594</v>
      </c>
    </row>
    <row r="43" spans="2:11" ht="5.0999999999999996" customHeight="1">
      <c r="D43" s="327"/>
      <c r="E43" s="476"/>
    </row>
    <row r="44" spans="2:11">
      <c r="B44" s="339" t="s">
        <v>164</v>
      </c>
      <c r="C44" s="340"/>
      <c r="D44" s="345" t="s">
        <v>177</v>
      </c>
      <c r="E44" s="475">
        <v>4</v>
      </c>
      <c r="F44" s="346">
        <f ca="1">SUM('Post-Transaction Fncl Sts'!G120:G122)/F11</f>
        <v>2.8718053047512253</v>
      </c>
      <c r="G44" s="346">
        <f ca="1">SUM('Post-Transaction Fncl Sts'!H120:H122)/G11</f>
        <v>2.4521161879649207</v>
      </c>
      <c r="H44" s="346">
        <f ca="1">SUM('Post-Transaction Fncl Sts'!I120:I122)/H11</f>
        <v>2.011992769612243</v>
      </c>
      <c r="I44" s="346">
        <f ca="1">SUM('Post-Transaction Fncl Sts'!J120:J122)/I11</f>
        <v>1.6082255131254335</v>
      </c>
      <c r="J44" s="346">
        <f ca="1">SUM('Post-Transaction Fncl Sts'!K120:K122)/J11</f>
        <v>1.2383499391847308</v>
      </c>
      <c r="K44" s="346">
        <f ca="1">SUM('Post-Transaction Fncl Sts'!L120:L122)/K11</f>
        <v>1.1793808944616482</v>
      </c>
    </row>
    <row r="46" spans="2:11">
      <c r="B46" s="339" t="s">
        <v>179</v>
      </c>
      <c r="C46" s="339"/>
      <c r="D46" s="339"/>
      <c r="E46" s="339"/>
      <c r="F46" s="330">
        <f>'Post-Transaction Fncl Sts'!G122/$E$42</f>
        <v>9545.454545454546</v>
      </c>
      <c r="G46" s="330">
        <f>'Post-Transaction Fncl Sts'!H122/$E$42</f>
        <v>8181.818181818182</v>
      </c>
      <c r="H46" s="330">
        <f>'Post-Transaction Fncl Sts'!I122/$E$42</f>
        <v>6545.454545454545</v>
      </c>
      <c r="I46" s="330">
        <f>'Post-Transaction Fncl Sts'!J122/$E$42</f>
        <v>4909.090909090909</v>
      </c>
      <c r="J46" s="330">
        <f>'Post-Transaction Fncl Sts'!K122/$E$42</f>
        <v>3272.7272727272725</v>
      </c>
      <c r="K46" s="330">
        <f>'Post-Transaction Fncl Sts'!L122/$E$42</f>
        <v>3272.7272727272725</v>
      </c>
    </row>
    <row r="47" spans="2:11" ht="5.0999999999999996" customHeight="1"/>
    <row r="48" spans="2:11">
      <c r="B48" s="339" t="s">
        <v>178</v>
      </c>
      <c r="C48" s="339"/>
      <c r="D48" s="339"/>
      <c r="E48" s="339"/>
      <c r="F48" s="330">
        <f ca="1">SUM('Post-Transaction Fncl Sts'!G120:G122)/$E$44</f>
        <v>9062.5</v>
      </c>
      <c r="G48" s="330">
        <f ca="1">SUM('Post-Transaction Fncl Sts'!H120:H122)/$E$44</f>
        <v>8125</v>
      </c>
      <c r="H48" s="330">
        <f ca="1">SUM('Post-Transaction Fncl Sts'!I120:I122)/$E$44</f>
        <v>7000</v>
      </c>
      <c r="I48" s="330">
        <f ca="1">SUM('Post-Transaction Fncl Sts'!J120:J122)/$E$44</f>
        <v>5875</v>
      </c>
      <c r="J48" s="330">
        <f ca="1">SUM('Post-Transaction Fncl Sts'!K120:K122)/$E$44</f>
        <v>4750</v>
      </c>
      <c r="K48" s="330">
        <f ca="1">SUM('Post-Transaction Fncl Sts'!L120:L122)/$E$44</f>
        <v>4750</v>
      </c>
    </row>
    <row r="49" spans="6:6">
      <c r="F49" s="306"/>
    </row>
  </sheetData>
  <printOptions horizontalCentered="1"/>
  <pageMargins left="0.7" right="0.7" top="0.75" bottom="0.75" header="0.3" footer="0.3"/>
  <pageSetup scale="69" orientation="portrait" r:id="rId1"/>
  <headerFooter>
    <oddHeader>&amp;F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 Page</vt:lpstr>
      <vt:lpstr>Sources &amp; Uses</vt:lpstr>
      <vt:lpstr>Exit Analysis</vt:lpstr>
      <vt:lpstr>Post-Transaction Fncl Sts</vt:lpstr>
      <vt:lpstr>IS Scenarios</vt:lpstr>
      <vt:lpstr>Debt Schedule</vt:lpstr>
      <vt:lpstr>PP&amp;E Schedule</vt:lpstr>
      <vt:lpstr>Debt 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Lynch</dc:creator>
  <cp:lastModifiedBy>Peter Lynch</cp:lastModifiedBy>
  <cp:lastPrinted>2016-07-24T22:51:20Z</cp:lastPrinted>
  <dcterms:created xsi:type="dcterms:W3CDTF">2009-11-24T17:16:57Z</dcterms:created>
  <dcterms:modified xsi:type="dcterms:W3CDTF">2017-07-02T18:26:59Z</dcterms:modified>
</cp:coreProperties>
</file>